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026"/>
  <workbookPr defaultThemeVersion="124226"/>
  <mc:AlternateContent>
    <mc:Choice Requires="x15">
      <x15ac:absPath xmlns:x15ac="http://schemas.microsoft.com/office/spreadsheetml/2010/11/ac" url="C:\ローカル\01_BO-X\svn\dev004_MarketChange\src\03_online-batch\04_xlsx\"/>
    </mc:Choice>
  </mc:AlternateContent>
  <xr:revisionPtr documentId="13_ncr:1_{406BDEAC-89FD-40ED-995F-56EF8468CFEB}" revIDLastSave="0" xr10:uidLastSave="{00000000-0000-0000-0000-000000000000}" xr6:coauthVersionLast="47" xr6:coauthVersionMax="47"/>
  <bookViews>
    <workbookView windowHeight="15840" windowWidth="29040" xWindow="-120" xr2:uid="{00000000-000D-0000-FFFF-FFFF00000000}" yWindow="-120"/>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91029"/>
</workbook>
</file>

<file path=xl/sharedStrings.xml><?xml version="1.0" encoding="utf-8"?>
<sst xmlns="http://schemas.openxmlformats.org/spreadsheetml/2006/main" count="638" uniqueCount="141">
  <si>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</si>
  <si>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</si>
  <si>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</si>
  <si>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</si>
  <si>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</si>
  <si>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</si>
  <si>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</si>
  <si>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</si>
  <si>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</si>
  <si>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</si>
  <si>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</si>
  <si>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</si>
  <si>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</si>
  <si>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</si>
  <si>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</si>
  <si>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</si>
  <si>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</si>
  <si>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</si>
  <si>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</si>
  <si>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</si>
  <si>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</si>
  <si>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</si>
  <si>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</si>
  <si>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</si>
  <si>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</si>
  <si>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</si>
  <si>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</si>
  <si>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</si>
  <si>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</si>
  <si>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</si>
  <si>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</si>
  <si>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</si>
  <si>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</si>
  <si>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</si>
  <si>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</si>
  <si>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</si>
  <si>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</si>
  <si>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</si>
  <si>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</si>
  <si>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</si>
  <si>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</si>
  <si>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</si>
  <si>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</si>
  <si>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</si>
  <si>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</si>
  <si>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</si>
  <si>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</si>
  <si>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</si>
  <si>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</si>
  <si>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3.本表の作成に当たって使用した親会社株主に帰属する当期純利益及び純資産は、2021年12月期～2022年11月期の確定数値である。</t>
  </si>
  <si>
    <t xml:space="preserve">       3.Figures of Net Income and Net Assets are based on the fixed figures during the term from December of 2021 to November of 2022.</t>
  </si>
  <si>
    <t xml:space="preserve">    2.本表の作成に当たって使用した当期純利益及び純資産は、2021年12月期～2022年11月期の確定数値である。</t>
  </si>
  <si>
    <t xml:space="preserve">         the term from December of 2021 to November of 2022.</t>
  </si>
  <si>
    <t>2023/02</t>
  </si>
  <si>
    <t>プライム市場</t>
  </si>
  <si>
    <t>Prime</t>
  </si>
  <si>
    <t>総合</t>
  </si>
  <si>
    <t>Composite</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</si>
  <si>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</si>
  <si>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</si>
  <si>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</si>
  <si>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</si>
  <si>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</si>
  <si>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</si>
  <si>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</si>
  <si>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</si>
  <si>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</si>
  <si>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</si>
  <si>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</si>
  <si>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</si>
  <si>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</si>
  <si>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</si>
  <si>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</si>
  <si>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</si>
  <si>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</si>
  <si>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</si>
  <si>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</si>
  <si>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</si>
  <si>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</si>
  <si>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</si>
  <si>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</si>
  <si>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</si>
  <si>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</si>
  <si>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</si>
  <si>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</si>
  <si>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</si>
  <si>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</si>
  <si>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</si>
  <si>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</si>
  <si>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</si>
  <si>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</si>
  <si>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</si>
  <si>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</si>
  <si>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</si>
  <si>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</si>
  <si>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</si>
  <si>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</si>
  <si>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</si>
  <si>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</si>
  <si>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</si>
  <si>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</si>
  <si>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</si>
  <si>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</si>
  <si>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</si>
  <si>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</si>
  <si>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</si>
  <si>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</si>
  <si>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</si>
  <si>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</si>
  <si>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</si>
  <si>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倉庫・運輸関連業</t>
  </si>
  <si>
    <t>24 Warehousing &amp; Harbor Transportation Services</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</si>
  <si>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</si>
  <si>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</si>
  <si>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</si>
  <si>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</si>
  <si>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</si>
  <si>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</si>
  <si>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</si>
  <si>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</si>
  <si>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</si>
  <si>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</si>
  <si>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</si>
  <si>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</si>
  <si>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</si>
  <si>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</si>
  <si>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</si>
  <si>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</si>
  <si>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</si>
  <si>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</si>
  <si>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スタンダード市場</t>
  </si>
  <si>
    <t>Standard</t>
  </si>
  <si>
    <t>グロース市場</t>
  </si>
  <si>
    <t>Growth</t>
  </si>
  <si>
    <t>－</t>
  </si>
  <si>
    <t>大型株</t>
  </si>
  <si>
    <t xml:space="preserve">Large </t>
  </si>
  <si>
    <t>中型株</t>
  </si>
  <si>
    <t xml:space="preserve">Medium </t>
  </si>
  <si>
    <t>小型株</t>
  </si>
  <si>
    <t xml:space="preserve">Small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</si>
</sst>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10" x14ac:knownFonts="1">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118"/>
  <sheetViews>
    <sheetView showGridLines="0" tabSelected="1" workbookViewId="0" zoomScaleNormal="100" zoomScaleSheetLayoutView="55">
      <pane activePane="bottomLeft" state="frozen" topLeftCell="A5" ySplit="4"/>
      <selection activeCell="A5" pane="bottomLeft" sqref="A5"/>
    </sheetView>
  </sheetViews>
  <sheetFormatPr defaultRowHeight="13.5" x14ac:dyDescent="0.15"/>
  <cols>
    <col min="1" max="1" customWidth="true" style="5" width="12.75" collapsed="true"/>
    <col min="2" max="2" customWidth="true" style="5" width="16.625"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x14ac:dyDescent="0.15">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x14ac:dyDescent="0.15">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x14ac:dyDescent="0.15">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x14ac:dyDescent="0.15">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x14ac:dyDescent="0.15">
      <c r="A5" s="22" t="s">
        <v>53</v>
      </c>
      <c r="B5" s="22" t="s">
        <v>54</v>
      </c>
      <c r="C5" s="22" t="s">
        <v>55</v>
      </c>
      <c r="D5" s="22" t="s">
        <v>56</v>
      </c>
      <c r="E5" s="22" t="s">
        <v>57</v>
      </c>
      <c r="F5" s="9">
        <f>1824</f>
      </c>
      <c r="G5" s="10">
        <f>15</f>
      </c>
      <c r="H5" s="10">
        <f>1.2</f>
      </c>
      <c r="I5" s="11">
        <f>164.22</f>
      </c>
      <c r="J5" s="11">
        <f>2089.35</f>
      </c>
      <c r="K5" s="10">
        <f>15.1</f>
      </c>
      <c r="L5" s="10">
        <f>1.2</f>
      </c>
      <c r="M5" s="21">
        <f>47507007267366</f>
      </c>
      <c r="N5" s="21">
        <f>583715689441939</f>
      </c>
      <c r="O5" s="3"/>
      <c r="P5" s="3"/>
      <c r="Q5" s="4"/>
      <c r="R5" s="4"/>
      <c r="S5" s="4"/>
      <c r="T5" s="4"/>
      <c r="U5" s="4"/>
      <c r="V5" s="4"/>
      <c r="W5" s="4"/>
      <c r="X5" s="4"/>
      <c r="Y5" s="4"/>
      <c r="Z5" s="4"/>
      <c r="AA5" s="4"/>
    </row>
    <row r="6">
      <c r="A6" s="22" t="s">
        <v>53</v>
      </c>
      <c r="B6" s="22" t="s">
        <v>54</v>
      </c>
      <c r="C6" s="22" t="s">
        <v>55</v>
      </c>
      <c r="D6" s="22" t="s">
        <v>58</v>
      </c>
      <c r="E6" s="22" t="s">
        <v>59</v>
      </c>
      <c r="F6" s="9">
        <f>1712</f>
      </c>
      <c r="G6" s="10">
        <f>15.5</f>
      </c>
      <c r="H6" s="10">
        <f>1.3</f>
      </c>
      <c r="I6" s="11">
        <f>162.4</f>
      </c>
      <c r="J6" s="11">
        <f>1979.42</f>
      </c>
      <c r="K6" s="10">
        <f>15.8</f>
      </c>
      <c r="L6" s="10">
        <f>1.4</f>
      </c>
      <c r="M6" s="21">
        <f>40801042505076</f>
      </c>
      <c r="N6" s="21">
        <f>474992271830249</f>
      </c>
    </row>
    <row r="7">
      <c r="A7" s="22" t="s">
        <v>53</v>
      </c>
      <c r="B7" s="22" t="s">
        <v>54</v>
      </c>
      <c r="C7" s="22" t="s">
        <v>55</v>
      </c>
      <c r="D7" s="22" t="s">
        <v>60</v>
      </c>
      <c r="E7" s="22" t="s">
        <v>61</v>
      </c>
      <c r="F7" s="9">
        <f>776</f>
      </c>
      <c r="G7" s="10">
        <f>15.2</f>
      </c>
      <c r="H7" s="10">
        <f>1.2</f>
      </c>
      <c r="I7" s="11">
        <f>188.57</f>
      </c>
      <c r="J7" s="11">
        <f>2444.77</f>
      </c>
      <c r="K7" s="10">
        <f>15.2</f>
      </c>
      <c r="L7" s="10">
        <f>1.4</f>
      </c>
      <c r="M7" s="21">
        <f>25115096345327</f>
      </c>
      <c r="N7" s="21">
        <f>272797335293708</f>
      </c>
    </row>
    <row r="8">
      <c r="A8" s="22" t="s">
        <v>53</v>
      </c>
      <c r="B8" s="22" t="s">
        <v>54</v>
      </c>
      <c r="C8" s="22" t="s">
        <v>55</v>
      </c>
      <c r="D8" s="22" t="s">
        <v>62</v>
      </c>
      <c r="E8" s="22" t="s">
        <v>63</v>
      </c>
      <c r="F8" s="9">
        <f>936</f>
      </c>
      <c r="G8" s="10">
        <f>15.7</f>
      </c>
      <c r="H8" s="10">
        <f>1.4</f>
      </c>
      <c r="I8" s="11">
        <f>140.7</f>
      </c>
      <c r="J8" s="11">
        <f>1593.62</f>
      </c>
      <c r="K8" s="10">
        <f>16.8</f>
      </c>
      <c r="L8" s="10">
        <f>1.3</f>
      </c>
      <c r="M8" s="21">
        <f>15685946159749</f>
      </c>
      <c r="N8" s="21">
        <f>202194936536541</f>
      </c>
    </row>
    <row r="9">
      <c r="A9" s="22" t="s">
        <v>53</v>
      </c>
      <c r="B9" s="22" t="s">
        <v>54</v>
      </c>
      <c r="C9" s="22" t="s">
        <v>55</v>
      </c>
      <c r="D9" s="22" t="s">
        <v>64</v>
      </c>
      <c r="E9" s="22" t="s">
        <v>65</v>
      </c>
      <c r="F9" s="9">
        <f>6</f>
      </c>
      <c r="G9" s="10">
        <f>11.1</f>
      </c>
      <c r="H9" s="10">
        <f>1.1</f>
      </c>
      <c r="I9" s="11">
        <f>203.71</f>
      </c>
      <c r="J9" s="11">
        <f>2130</f>
      </c>
      <c r="K9" s="10">
        <f>11.1</f>
      </c>
      <c r="L9" s="10">
        <f>1</f>
      </c>
      <c r="M9" s="21">
        <f>56582000000</f>
      </c>
      <c r="N9" s="21">
        <f>629112000000</f>
      </c>
    </row>
    <row r="10">
      <c r="A10" s="22" t="s">
        <v>53</v>
      </c>
      <c r="B10" s="22" t="s">
        <v>54</v>
      </c>
      <c r="C10" s="22" t="s">
        <v>55</v>
      </c>
      <c r="D10" s="22" t="s">
        <v>66</v>
      </c>
      <c r="E10" s="22" t="s">
        <v>67</v>
      </c>
      <c r="F10" s="9">
        <f>5</f>
      </c>
      <c r="G10" s="10">
        <f>24.3</f>
      </c>
      <c r="H10" s="10">
        <f>0.7</f>
      </c>
      <c r="I10" s="11">
        <f>131.82</f>
      </c>
      <c r="J10" s="11">
        <f>4602.78</f>
      </c>
      <c r="K10" s="10">
        <f>11.6</f>
      </c>
      <c r="L10" s="10">
        <f>0.6</f>
      </c>
      <c r="M10" s="21">
        <f>209581000000</f>
      </c>
      <c r="N10" s="21">
        <f>3993204000000</f>
      </c>
    </row>
    <row r="11">
      <c r="A11" s="22" t="s">
        <v>53</v>
      </c>
      <c r="B11" s="22" t="s">
        <v>54</v>
      </c>
      <c r="C11" s="22" t="s">
        <v>55</v>
      </c>
      <c r="D11" s="22" t="s">
        <v>68</v>
      </c>
      <c r="E11" s="22" t="s">
        <v>69</v>
      </c>
      <c r="F11" s="9">
        <f>83</f>
      </c>
      <c r="G11" s="10">
        <f>10.6</f>
      </c>
      <c r="H11" s="10">
        <f>0.8</f>
      </c>
      <c r="I11" s="11">
        <f>184.95</f>
      </c>
      <c r="J11" s="11">
        <f>2351.41</f>
      </c>
      <c r="K11" s="10">
        <f>11.3</f>
      </c>
      <c r="L11" s="10">
        <f>0.9</f>
      </c>
      <c r="M11" s="21">
        <f>1280151000000</f>
      </c>
      <c r="N11" s="21">
        <f>15928927978000</f>
      </c>
    </row>
    <row r="12">
      <c r="A12" s="22" t="s">
        <v>53</v>
      </c>
      <c r="B12" s="22" t="s">
        <v>54</v>
      </c>
      <c r="C12" s="22" t="s">
        <v>55</v>
      </c>
      <c r="D12" s="22" t="s">
        <v>70</v>
      </c>
      <c r="E12" s="22" t="s">
        <v>71</v>
      </c>
      <c r="F12" s="9">
        <f>70</f>
      </c>
      <c r="G12" s="10">
        <f>18.2</f>
      </c>
      <c r="H12" s="10">
        <f>1.3</f>
      </c>
      <c r="I12" s="11">
        <f>153.49</f>
      </c>
      <c r="J12" s="11">
        <f>2205.79</f>
      </c>
      <c r="K12" s="10">
        <f>19.4</f>
      </c>
      <c r="L12" s="10">
        <f>1.6</f>
      </c>
      <c r="M12" s="21">
        <f>1366440600000</f>
      </c>
      <c r="N12" s="21">
        <f>16713198345847</f>
      </c>
    </row>
    <row r="13">
      <c r="A13" s="22" t="s">
        <v>53</v>
      </c>
      <c r="B13" s="22" t="s">
        <v>54</v>
      </c>
      <c r="C13" s="22" t="s">
        <v>55</v>
      </c>
      <c r="D13" s="22" t="s">
        <v>72</v>
      </c>
      <c r="E13" s="22" t="s">
        <v>73</v>
      </c>
      <c r="F13" s="9">
        <f>23</f>
      </c>
      <c r="G13" s="10">
        <f>21.6</f>
      </c>
      <c r="H13" s="10">
        <f>0.9</f>
      </c>
      <c r="I13" s="11">
        <f>99.66</f>
      </c>
      <c r="J13" s="11">
        <f>2304.29</f>
      </c>
      <c r="K13" s="10">
        <f>17.8</f>
      </c>
      <c r="L13" s="10">
        <f>1</f>
      </c>
      <c r="M13" s="21">
        <f>196279551260</f>
      </c>
      <c r="N13" s="21">
        <f>3599628551260</f>
      </c>
    </row>
    <row r="14">
      <c r="A14" s="22" t="s">
        <v>53</v>
      </c>
      <c r="B14" s="22" t="s">
        <v>54</v>
      </c>
      <c r="C14" s="22" t="s">
        <v>55</v>
      </c>
      <c r="D14" s="22" t="s">
        <v>74</v>
      </c>
      <c r="E14" s="22" t="s">
        <v>75</v>
      </c>
      <c r="F14" s="9">
        <f>10</f>
      </c>
      <c r="G14" s="10">
        <f>9.4</f>
      </c>
      <c r="H14" s="10">
        <f>0.5</f>
      </c>
      <c r="I14" s="11">
        <f>142.59</f>
      </c>
      <c r="J14" s="11">
        <f>2683.13</f>
      </c>
      <c r="K14" s="10">
        <f>8</f>
      </c>
      <c r="L14" s="10">
        <f>0.6</f>
      </c>
      <c r="M14" s="21">
        <f>179033000000</f>
      </c>
      <c r="N14" s="21">
        <f>2486994000000</f>
      </c>
    </row>
    <row r="15">
      <c r="A15" s="22" t="s">
        <v>53</v>
      </c>
      <c r="B15" s="22" t="s">
        <v>54</v>
      </c>
      <c r="C15" s="22" t="s">
        <v>55</v>
      </c>
      <c r="D15" s="22" t="s">
        <v>76</v>
      </c>
      <c r="E15" s="22" t="s">
        <v>77</v>
      </c>
      <c r="F15" s="9">
        <f>137</f>
      </c>
      <c r="G15" s="10">
        <f>14</f>
      </c>
      <c r="H15" s="10">
        <f>1.1</f>
      </c>
      <c r="I15" s="11">
        <f>179.56</f>
      </c>
      <c r="J15" s="11">
        <f>2358.51</f>
      </c>
      <c r="K15" s="10">
        <f>15.4</f>
      </c>
      <c r="L15" s="10">
        <f>1.4</f>
      </c>
      <c r="M15" s="21">
        <f>2949380000000</f>
      </c>
      <c r="N15" s="21">
        <f>32466091000000</f>
      </c>
    </row>
    <row r="16">
      <c r="A16" s="22" t="s">
        <v>53</v>
      </c>
      <c r="B16" s="22" t="s">
        <v>54</v>
      </c>
      <c r="C16" s="22" t="s">
        <v>55</v>
      </c>
      <c r="D16" s="22" t="s">
        <v>78</v>
      </c>
      <c r="E16" s="22" t="s">
        <v>79</v>
      </c>
      <c r="F16" s="9">
        <f>34</f>
      </c>
      <c r="G16" s="10">
        <f>34.7</f>
      </c>
      <c r="H16" s="10">
        <f>1.3</f>
      </c>
      <c r="I16" s="11">
        <f>76.82</f>
      </c>
      <c r="J16" s="11">
        <f>2118.07</f>
      </c>
      <c r="K16" s="10">
        <f>29.8</f>
      </c>
      <c r="L16" s="10">
        <f>2.1</f>
      </c>
      <c r="M16" s="21">
        <f>1260041000000</f>
      </c>
      <c r="N16" s="21">
        <f>18273802000000</f>
      </c>
    </row>
    <row r="17">
      <c r="A17" s="22" t="s">
        <v>53</v>
      </c>
      <c r="B17" s="22" t="s">
        <v>54</v>
      </c>
      <c r="C17" s="22" t="s">
        <v>55</v>
      </c>
      <c r="D17" s="22" t="s">
        <v>80</v>
      </c>
      <c r="E17" s="22" t="s">
        <v>81</v>
      </c>
      <c r="F17" s="9">
        <f>7</f>
      </c>
      <c r="G17" s="10">
        <f>3.2</f>
      </c>
      <c r="H17" s="10">
        <f>0.6</f>
      </c>
      <c r="I17" s="11">
        <f>470.98</f>
      </c>
      <c r="J17" s="11">
        <f>2530.9</f>
      </c>
      <c r="K17" s="10">
        <f>2.9</f>
      </c>
      <c r="L17" s="10">
        <f>0.5</f>
      </c>
      <c r="M17" s="21">
        <f>986707000000</f>
      </c>
      <c r="N17" s="21">
        <f>5465070000000</f>
      </c>
    </row>
    <row r="18">
      <c r="A18" s="22" t="s">
        <v>53</v>
      </c>
      <c r="B18" s="22" t="s">
        <v>54</v>
      </c>
      <c r="C18" s="22" t="s">
        <v>55</v>
      </c>
      <c r="D18" s="22" t="s">
        <v>82</v>
      </c>
      <c r="E18" s="22" t="s">
        <v>83</v>
      </c>
      <c r="F18" s="9">
        <f>11</f>
      </c>
      <c r="G18" s="10">
        <f>10.5</f>
      </c>
      <c r="H18" s="10">
        <f>0.9</f>
      </c>
      <c r="I18" s="11">
        <f>219.72</f>
      </c>
      <c r="J18" s="11">
        <f>2515.59</f>
      </c>
      <c r="K18" s="10">
        <f>9.4</f>
      </c>
      <c r="L18" s="10">
        <f>1.1</f>
      </c>
      <c r="M18" s="21">
        <f>553803000000</f>
      </c>
      <c r="N18" s="21">
        <f>4596326000000</f>
      </c>
    </row>
    <row r="19">
      <c r="A19" s="22" t="s">
        <v>53</v>
      </c>
      <c r="B19" s="22" t="s">
        <v>54</v>
      </c>
      <c r="C19" s="22" t="s">
        <v>55</v>
      </c>
      <c r="D19" s="22" t="s">
        <v>84</v>
      </c>
      <c r="E19" s="22" t="s">
        <v>85</v>
      </c>
      <c r="F19" s="9">
        <f>24</f>
      </c>
      <c r="G19" s="10">
        <f>12.2</f>
      </c>
      <c r="H19" s="10">
        <f>1</f>
      </c>
      <c r="I19" s="11">
        <f>287.25</f>
      </c>
      <c r="J19" s="11">
        <f>3484.17</f>
      </c>
      <c r="K19" s="10">
        <f>11.1</f>
      </c>
      <c r="L19" s="10">
        <f>0.9</f>
      </c>
      <c r="M19" s="21">
        <f>476267000000</f>
      </c>
      <c r="N19" s="21">
        <f>5699965000000</f>
      </c>
    </row>
    <row r="20">
      <c r="A20" s="22" t="s">
        <v>53</v>
      </c>
      <c r="B20" s="22" t="s">
        <v>54</v>
      </c>
      <c r="C20" s="22" t="s">
        <v>55</v>
      </c>
      <c r="D20" s="22" t="s">
        <v>86</v>
      </c>
      <c r="E20" s="22" t="s">
        <v>87</v>
      </c>
      <c r="F20" s="9">
        <f>23</f>
      </c>
      <c r="G20" s="10">
        <f>9.1</f>
      </c>
      <c r="H20" s="10">
        <f>0.6</f>
      </c>
      <c r="I20" s="11">
        <f>264.81</f>
      </c>
      <c r="J20" s="11">
        <f>3973.81</f>
      </c>
      <c r="K20" s="10">
        <f>5.2</f>
      </c>
      <c r="L20" s="10">
        <f>0.7</f>
      </c>
      <c r="M20" s="21">
        <f>1190442000000</f>
      </c>
      <c r="N20" s="21">
        <f>9494380000000</f>
      </c>
    </row>
    <row r="21">
      <c r="A21" s="22" t="s">
        <v>53</v>
      </c>
      <c r="B21" s="22" t="s">
        <v>54</v>
      </c>
      <c r="C21" s="22" t="s">
        <v>55</v>
      </c>
      <c r="D21" s="22" t="s">
        <v>88</v>
      </c>
      <c r="E21" s="22" t="s">
        <v>89</v>
      </c>
      <c r="F21" s="9">
        <f>21</f>
      </c>
      <c r="G21" s="10">
        <f>7.4</f>
      </c>
      <c r="H21" s="10">
        <f>0.7</f>
      </c>
      <c r="I21" s="11">
        <f>296.73</f>
      </c>
      <c r="J21" s="11">
        <f>2943.2</f>
      </c>
      <c r="K21" s="10">
        <f>7.4</f>
      </c>
      <c r="L21" s="10">
        <f>0.8</f>
      </c>
      <c r="M21" s="21">
        <f>679975000000</f>
      </c>
      <c r="N21" s="21">
        <f>6620996000000</f>
      </c>
    </row>
    <row r="22">
      <c r="A22" s="22" t="s">
        <v>53</v>
      </c>
      <c r="B22" s="22" t="s">
        <v>54</v>
      </c>
      <c r="C22" s="22" t="s">
        <v>55</v>
      </c>
      <c r="D22" s="22" t="s">
        <v>90</v>
      </c>
      <c r="E22" s="22" t="s">
        <v>91</v>
      </c>
      <c r="F22" s="9">
        <f>31</f>
      </c>
      <c r="G22" s="10">
        <f>12.5</f>
      </c>
      <c r="H22" s="10">
        <f>0.7</f>
      </c>
      <c r="I22" s="11">
        <f>149.95</f>
      </c>
      <c r="J22" s="11">
        <f>2818.19</f>
      </c>
      <c r="K22" s="10">
        <f>12.6</f>
      </c>
      <c r="L22" s="10">
        <f>0.8</f>
      </c>
      <c r="M22" s="21">
        <f>300825000000</f>
      </c>
      <c r="N22" s="21">
        <f>4512099000000</f>
      </c>
    </row>
    <row r="23">
      <c r="A23" s="22" t="s">
        <v>53</v>
      </c>
      <c r="B23" s="22" t="s">
        <v>54</v>
      </c>
      <c r="C23" s="22" t="s">
        <v>55</v>
      </c>
      <c r="D23" s="22" t="s">
        <v>92</v>
      </c>
      <c r="E23" s="22" t="s">
        <v>93</v>
      </c>
      <c r="F23" s="9">
        <f>124</f>
      </c>
      <c r="G23" s="10">
        <f>17.4</f>
      </c>
      <c r="H23" s="10">
        <f>1.4</f>
      </c>
      <c r="I23" s="11">
        <f>186.84</f>
      </c>
      <c r="J23" s="11">
        <f>2375.09</f>
      </c>
      <c r="K23" s="10">
        <f>17.9</f>
      </c>
      <c r="L23" s="10">
        <f>1.5</f>
      </c>
      <c r="M23" s="21">
        <f>2014567000000</f>
      </c>
      <c r="N23" s="21">
        <f>23355173000000</f>
      </c>
    </row>
    <row r="24">
      <c r="A24" s="22" t="s">
        <v>53</v>
      </c>
      <c r="B24" s="22" t="s">
        <v>54</v>
      </c>
      <c r="C24" s="22" t="s">
        <v>55</v>
      </c>
      <c r="D24" s="22" t="s">
        <v>94</v>
      </c>
      <c r="E24" s="22" t="s">
        <v>95</v>
      </c>
      <c r="F24" s="9">
        <f>140</f>
      </c>
      <c r="G24" s="10">
        <f>17.5</f>
      </c>
      <c r="H24" s="10">
        <f>1.7</f>
      </c>
      <c r="I24" s="11">
        <f>236.65</f>
      </c>
      <c r="J24" s="11">
        <f>2443.57</f>
      </c>
      <c r="K24" s="10">
        <f>18.3</f>
      </c>
      <c r="L24" s="10">
        <f>1.9</f>
      </c>
      <c r="M24" s="21">
        <f>6053285000000</f>
      </c>
      <c r="N24" s="21">
        <f>58477898711500</f>
      </c>
    </row>
    <row r="25">
      <c r="A25" s="22" t="s">
        <v>53</v>
      </c>
      <c r="B25" s="22" t="s">
        <v>54</v>
      </c>
      <c r="C25" s="22" t="s">
        <v>55</v>
      </c>
      <c r="D25" s="22" t="s">
        <v>96</v>
      </c>
      <c r="E25" s="22" t="s">
        <v>97</v>
      </c>
      <c r="F25" s="9">
        <f>50</f>
      </c>
      <c r="G25" s="10">
        <f>14</f>
      </c>
      <c r="H25" s="10">
        <f>0.8</f>
      </c>
      <c r="I25" s="11">
        <f>151.49</f>
      </c>
      <c r="J25" s="11">
        <f>2764.48</f>
      </c>
      <c r="K25" s="10">
        <f>11.8</f>
      </c>
      <c r="L25" s="10">
        <f>0.9</f>
      </c>
      <c r="M25" s="21">
        <f>5268249527400</f>
      </c>
      <c r="N25" s="21">
        <f>67961038685101</f>
      </c>
    </row>
    <row r="26">
      <c r="A26" s="22" t="s">
        <v>53</v>
      </c>
      <c r="B26" s="22" t="s">
        <v>54</v>
      </c>
      <c r="C26" s="22" t="s">
        <v>55</v>
      </c>
      <c r="D26" s="22" t="s">
        <v>98</v>
      </c>
      <c r="E26" s="22" t="s">
        <v>99</v>
      </c>
      <c r="F26" s="9">
        <f>30</f>
      </c>
      <c r="G26" s="10">
        <f>17.3</f>
      </c>
      <c r="H26" s="10">
        <f>1.5</f>
      </c>
      <c r="I26" s="11">
        <f>137.21</f>
      </c>
      <c r="J26" s="11">
        <f>1544.32</f>
      </c>
      <c r="K26" s="10">
        <f>24.8</f>
      </c>
      <c r="L26" s="10">
        <f>3</f>
      </c>
      <c r="M26" s="21">
        <f>596600000000</f>
      </c>
      <c r="N26" s="21">
        <f>4953895000000</f>
      </c>
    </row>
    <row r="27">
      <c r="A27" s="22" t="s">
        <v>53</v>
      </c>
      <c r="B27" s="22" t="s">
        <v>54</v>
      </c>
      <c r="C27" s="22" t="s">
        <v>55</v>
      </c>
      <c r="D27" s="22" t="s">
        <v>100</v>
      </c>
      <c r="E27" s="22" t="s">
        <v>101</v>
      </c>
      <c r="F27" s="9">
        <f>41</f>
      </c>
      <c r="G27" s="10">
        <f>13.6</f>
      </c>
      <c r="H27" s="10">
        <f>1.3</f>
      </c>
      <c r="I27" s="11">
        <f>172.94</f>
      </c>
      <c r="J27" s="11">
        <f>1878.99</f>
      </c>
      <c r="K27" s="10">
        <f>14.3</f>
      </c>
      <c r="L27" s="10">
        <f>1.8</f>
      </c>
      <c r="M27" s="21">
        <f>1043201666667</f>
      </c>
      <c r="N27" s="21">
        <f>8120780000000</f>
      </c>
    </row>
    <row r="28">
      <c r="A28" s="22" t="s">
        <v>53</v>
      </c>
      <c r="B28" s="22" t="s">
        <v>54</v>
      </c>
      <c r="C28" s="22" t="s">
        <v>55</v>
      </c>
      <c r="D28" s="22" t="s">
        <v>102</v>
      </c>
      <c r="E28" s="22" t="s">
        <v>103</v>
      </c>
      <c r="F28" s="9">
        <f>22</f>
      </c>
      <c r="G28" s="10">
        <f>18.8</f>
      </c>
      <c r="H28" s="10">
        <f>0.7</f>
      </c>
      <c r="I28" s="11">
        <f>69.9</f>
      </c>
      <c r="J28" s="11">
        <f>1991.52</f>
      </c>
      <c r="K28" s="10">
        <f>32.8</f>
      </c>
      <c r="L28" s="10">
        <f>0.6</f>
      </c>
      <c r="M28" s="21">
        <f>233533000000</f>
      </c>
      <c r="N28" s="21">
        <f>13452686000000</f>
      </c>
    </row>
    <row r="29">
      <c r="A29" s="22" t="s">
        <v>53</v>
      </c>
      <c r="B29" s="22" t="s">
        <v>54</v>
      </c>
      <c r="C29" s="22" t="s">
        <v>55</v>
      </c>
      <c r="D29" s="22" t="s">
        <v>104</v>
      </c>
      <c r="E29" s="22" t="s">
        <v>105</v>
      </c>
      <c r="F29" s="9">
        <f>38</f>
      </c>
      <c r="G29" s="10">
        <f>29.6</f>
      </c>
      <c r="H29" s="10">
        <f>1.1</f>
      </c>
      <c r="I29" s="11">
        <f>109.58</f>
      </c>
      <c r="J29" s="11">
        <f>3018.1</f>
      </c>
      <c r="K29" s="10">
        <f>85.5</f>
      </c>
      <c r="L29" s="10">
        <f>1.2</f>
      </c>
      <c r="M29" s="21">
        <f>228058000000</f>
      </c>
      <c r="N29" s="21">
        <f>16259573000000</f>
      </c>
    </row>
    <row r="30">
      <c r="A30" s="22" t="s">
        <v>53</v>
      </c>
      <c r="B30" s="22" t="s">
        <v>54</v>
      </c>
      <c r="C30" s="22" t="s">
        <v>55</v>
      </c>
      <c r="D30" s="22" t="s">
        <v>106</v>
      </c>
      <c r="E30" s="22" t="s">
        <v>107</v>
      </c>
      <c r="F30" s="9">
        <f>5</f>
      </c>
      <c r="G30" s="10">
        <f>2.2</f>
      </c>
      <c r="H30" s="10">
        <f>1</f>
      </c>
      <c r="I30" s="11">
        <f>1458.98</f>
      </c>
      <c r="J30" s="11">
        <f>3273.91</f>
      </c>
      <c r="K30" s="10">
        <f>1.8</f>
      </c>
      <c r="L30" s="10">
        <f>1</f>
      </c>
      <c r="M30" s="21">
        <f>2396456000000</f>
      </c>
      <c r="N30" s="21">
        <f>4288343000000</f>
      </c>
    </row>
    <row r="31">
      <c r="A31" s="22" t="s">
        <v>53</v>
      </c>
      <c r="B31" s="22" t="s">
        <v>54</v>
      </c>
      <c r="C31" s="22" t="s">
        <v>55</v>
      </c>
      <c r="D31" s="22" t="s">
        <v>108</v>
      </c>
      <c r="E31" s="22" t="s">
        <v>109</v>
      </c>
      <c r="F31" s="9">
        <f>2</f>
      </c>
      <c r="G31" s="10">
        <f>"－"</f>
      </c>
      <c r="H31" s="10">
        <f>1.5</f>
      </c>
      <c r="I31" s="11">
        <f>-351.37</f>
      </c>
      <c r="J31" s="11">
        <f>1794.99</f>
      </c>
      <c r="K31" s="10">
        <f>"－"</f>
      </c>
      <c r="L31" s="10">
        <f>1.5</f>
      </c>
      <c r="M31" s="21">
        <f>-321179000000</f>
      </c>
      <c r="N31" s="21">
        <f>1647556000000</f>
      </c>
    </row>
    <row r="32">
      <c r="A32" s="22" t="s">
        <v>53</v>
      </c>
      <c r="B32" s="22" t="s">
        <v>54</v>
      </c>
      <c r="C32" s="22" t="s">
        <v>55</v>
      </c>
      <c r="D32" s="22" t="s">
        <v>110</v>
      </c>
      <c r="E32" s="22" t="s">
        <v>111</v>
      </c>
      <c r="F32" s="9">
        <f>15</f>
      </c>
      <c r="G32" s="10">
        <f>10</f>
      </c>
      <c r="H32" s="10">
        <f>0.9</f>
      </c>
      <c r="I32" s="11">
        <f>221.33</f>
      </c>
      <c r="J32" s="11">
        <f>2465.59</f>
      </c>
      <c r="K32" s="10">
        <f>10.9</f>
      </c>
      <c r="L32" s="10">
        <f>0.8</f>
      </c>
      <c r="M32" s="21">
        <f>108263000000</f>
      </c>
      <c r="N32" s="21">
        <f>1447785000000</f>
      </c>
    </row>
    <row r="33">
      <c r="A33" s="22" t="s">
        <v>53</v>
      </c>
      <c r="B33" s="22" t="s">
        <v>54</v>
      </c>
      <c r="C33" s="22" t="s">
        <v>55</v>
      </c>
      <c r="D33" s="22" t="s">
        <v>112</v>
      </c>
      <c r="E33" s="22" t="s">
        <v>113</v>
      </c>
      <c r="F33" s="9">
        <f>207</f>
      </c>
      <c r="G33" s="10">
        <f>23</f>
      </c>
      <c r="H33" s="10">
        <f>2.2</f>
      </c>
      <c r="I33" s="11">
        <f>101.38</f>
      </c>
      <c r="J33" s="11">
        <f>1044.04</f>
      </c>
      <c r="K33" s="10">
        <f>33.7</f>
      </c>
      <c r="L33" s="10">
        <f>1.7</f>
      </c>
      <c r="M33" s="21">
        <f>2266676000000</f>
      </c>
      <c r="N33" s="21">
        <f>46355857000000</f>
      </c>
    </row>
    <row r="34">
      <c r="A34" s="22" t="s">
        <v>53</v>
      </c>
      <c r="B34" s="22" t="s">
        <v>54</v>
      </c>
      <c r="C34" s="22" t="s">
        <v>55</v>
      </c>
      <c r="D34" s="22" t="s">
        <v>114</v>
      </c>
      <c r="E34" s="22" t="s">
        <v>115</v>
      </c>
      <c r="F34" s="9">
        <f>140</f>
      </c>
      <c r="G34" s="10">
        <f>11.3</f>
      </c>
      <c r="H34" s="10">
        <f>1</f>
      </c>
      <c r="I34" s="11">
        <f>213.88</f>
      </c>
      <c r="J34" s="11">
        <f>2341.61</f>
      </c>
      <c r="K34" s="10">
        <f>8.5</f>
      </c>
      <c r="L34" s="10">
        <f>1.1</f>
      </c>
      <c r="M34" s="21">
        <f>4777623666667</f>
      </c>
      <c r="N34" s="21">
        <f>37598366000000</f>
      </c>
    </row>
    <row r="35">
      <c r="A35" s="22" t="s">
        <v>53</v>
      </c>
      <c r="B35" s="22" t="s">
        <v>54</v>
      </c>
      <c r="C35" s="22" t="s">
        <v>55</v>
      </c>
      <c r="D35" s="22" t="s">
        <v>116</v>
      </c>
      <c r="E35" s="22" t="s">
        <v>117</v>
      </c>
      <c r="F35" s="9">
        <f>159</f>
      </c>
      <c r="G35" s="10">
        <f>20.4</f>
      </c>
      <c r="H35" s="10">
        <f>1.6</f>
      </c>
      <c r="I35" s="11">
        <f>118.13</f>
      </c>
      <c r="J35" s="11">
        <f>1490.11</f>
      </c>
      <c r="K35" s="10">
        <f>24.5</f>
      </c>
      <c r="L35" s="10">
        <f>1.9</f>
      </c>
      <c r="M35" s="21">
        <f>1627894143127</f>
      </c>
      <c r="N35" s="21">
        <f>20589759058541</f>
      </c>
    </row>
    <row r="36">
      <c r="A36" s="22" t="s">
        <v>53</v>
      </c>
      <c r="B36" s="22" t="s">
        <v>54</v>
      </c>
      <c r="C36" s="22" t="s">
        <v>55</v>
      </c>
      <c r="D36" s="22" t="s">
        <v>118</v>
      </c>
      <c r="E36" s="22" t="s">
        <v>119</v>
      </c>
      <c r="F36" s="9">
        <f>62</f>
      </c>
      <c r="G36" s="10">
        <f>9</f>
      </c>
      <c r="H36" s="10">
        <f>0.3</f>
      </c>
      <c r="I36" s="11">
        <f>188.76</f>
      </c>
      <c r="J36" s="11">
        <f>5033.01</f>
      </c>
      <c r="K36" s="10">
        <f>11.2</f>
      </c>
      <c r="L36" s="10">
        <f>0.6</f>
      </c>
      <c r="M36" s="21">
        <f>3769068762290</f>
      </c>
      <c r="N36" s="21">
        <f>74846256611690</f>
      </c>
    </row>
    <row r="37">
      <c r="A37" s="22" t="s">
        <v>53</v>
      </c>
      <c r="B37" s="22" t="s">
        <v>54</v>
      </c>
      <c r="C37" s="22" t="s">
        <v>55</v>
      </c>
      <c r="D37" s="22" t="s">
        <v>120</v>
      </c>
      <c r="E37" s="22" t="s">
        <v>121</v>
      </c>
      <c r="F37" s="9">
        <f>20</f>
      </c>
      <c r="G37" s="10">
        <f>6.8</f>
      </c>
      <c r="H37" s="10">
        <f>0.8</f>
      </c>
      <c r="I37" s="11">
        <f>131.21</f>
      </c>
      <c r="J37" s="11">
        <f>1174.59</f>
      </c>
      <c r="K37" s="10">
        <f>6.8</f>
      </c>
      <c r="L37" s="10">
        <f>0.6</f>
      </c>
      <c r="M37" s="21">
        <f>701397000000</f>
      </c>
      <c r="N37" s="21">
        <f>7399845000000</f>
      </c>
    </row>
    <row r="38">
      <c r="A38" s="22" t="s">
        <v>53</v>
      </c>
      <c r="B38" s="22" t="s">
        <v>54</v>
      </c>
      <c r="C38" s="22" t="s">
        <v>55</v>
      </c>
      <c r="D38" s="22" t="s">
        <v>122</v>
      </c>
      <c r="E38" s="22" t="s">
        <v>123</v>
      </c>
      <c r="F38" s="9">
        <f>8</f>
      </c>
      <c r="G38" s="10">
        <f>9.9</f>
      </c>
      <c r="H38" s="10">
        <f>0.8</f>
      </c>
      <c r="I38" s="11">
        <f>280.45</f>
      </c>
      <c r="J38" s="11">
        <f>3421.39</f>
      </c>
      <c r="K38" s="10">
        <f>10.4</f>
      </c>
      <c r="L38" s="10">
        <f>0.9</f>
      </c>
      <c r="M38" s="21">
        <f>1493144000000</f>
      </c>
      <c r="N38" s="21">
        <f>17669700000000</f>
      </c>
    </row>
    <row r="39">
      <c r="A39" s="22" t="s">
        <v>53</v>
      </c>
      <c r="B39" s="22" t="s">
        <v>54</v>
      </c>
      <c r="C39" s="22" t="s">
        <v>55</v>
      </c>
      <c r="D39" s="22" t="s">
        <v>124</v>
      </c>
      <c r="E39" s="22" t="s">
        <v>125</v>
      </c>
      <c r="F39" s="9">
        <f>22</f>
      </c>
      <c r="G39" s="10">
        <f>11</f>
      </c>
      <c r="H39" s="10">
        <f>0.9</f>
      </c>
      <c r="I39" s="11">
        <f>224.42</f>
      </c>
      <c r="J39" s="11">
        <f>2694.94</f>
      </c>
      <c r="K39" s="10">
        <f>11.1</f>
      </c>
      <c r="L39" s="10">
        <f>0.9</f>
      </c>
      <c r="M39" s="21">
        <f>742355000000</f>
      </c>
      <c r="N39" s="21">
        <f>8807616000000</f>
      </c>
    </row>
    <row r="40">
      <c r="A40" s="22" t="s">
        <v>53</v>
      </c>
      <c r="B40" s="22" t="s">
        <v>54</v>
      </c>
      <c r="C40" s="22" t="s">
        <v>55</v>
      </c>
      <c r="D40" s="22" t="s">
        <v>126</v>
      </c>
      <c r="E40" s="22" t="s">
        <v>127</v>
      </c>
      <c r="F40" s="9">
        <f>63</f>
      </c>
      <c r="G40" s="10">
        <f>11.1</f>
      </c>
      <c r="H40" s="10">
        <f>1.2</f>
      </c>
      <c r="I40" s="11">
        <f>159.7</f>
      </c>
      <c r="J40" s="11">
        <f>1499.05</f>
      </c>
      <c r="K40" s="10">
        <f>12.6</f>
      </c>
      <c r="L40" s="10">
        <f>1.1</f>
      </c>
      <c r="M40" s="21">
        <f>1123265000000</f>
      </c>
      <c r="N40" s="21">
        <f>13285128000000</f>
      </c>
    </row>
    <row r="41">
      <c r="A41" s="22" t="s">
        <v>53</v>
      </c>
      <c r="B41" s="22" t="s">
        <v>54</v>
      </c>
      <c r="C41" s="22" t="s">
        <v>55</v>
      </c>
      <c r="D41" s="22" t="s">
        <v>128</v>
      </c>
      <c r="E41" s="22" t="s">
        <v>129</v>
      </c>
      <c r="F41" s="9">
        <f>191</f>
      </c>
      <c r="G41" s="10">
        <f>18.6</f>
      </c>
      <c r="H41" s="10">
        <f>2.1</f>
      </c>
      <c r="I41" s="11">
        <f>99.86</f>
      </c>
      <c r="J41" s="11">
        <f>889.58</f>
      </c>
      <c r="K41" s="10">
        <f>23.7</f>
      </c>
      <c r="L41" s="10">
        <f>1.5</f>
      </c>
      <c r="M41" s="21">
        <f>1699042349955</f>
      </c>
      <c r="N41" s="21">
        <f>26718639500000</f>
      </c>
    </row>
    <row r="42">
      <c r="A42" s="22" t="s">
        <v>53</v>
      </c>
      <c r="B42" s="22" t="s">
        <v>130</v>
      </c>
      <c r="C42" s="22" t="s">
        <v>131</v>
      </c>
      <c r="D42" s="22" t="s">
        <v>56</v>
      </c>
      <c r="E42" s="22" t="s">
        <v>57</v>
      </c>
      <c r="F42" s="9">
        <f>1438</f>
      </c>
      <c r="G42" s="10">
        <f>13.6</f>
      </c>
      <c r="H42" s="10">
        <f>0.8</f>
      </c>
      <c r="I42" s="11">
        <f>101.51</f>
      </c>
      <c r="J42" s="11">
        <f>1793.33</f>
      </c>
      <c r="K42" s="10">
        <f>18.7</f>
      </c>
      <c r="L42" s="10">
        <f>1</f>
      </c>
      <c r="M42" s="21">
        <f>1229662405963</f>
      </c>
      <c r="N42" s="21">
        <f>22670789942025</f>
      </c>
    </row>
    <row r="43">
      <c r="A43" s="22" t="s">
        <v>53</v>
      </c>
      <c r="B43" s="22" t="s">
        <v>130</v>
      </c>
      <c r="C43" s="22" t="s">
        <v>131</v>
      </c>
      <c r="D43" s="22" t="s">
        <v>58</v>
      </c>
      <c r="E43" s="22" t="s">
        <v>59</v>
      </c>
      <c r="F43" s="9">
        <f>1399</f>
      </c>
      <c r="G43" s="10">
        <f>13.6</f>
      </c>
      <c r="H43" s="10">
        <f>0.8</f>
      </c>
      <c r="I43" s="11">
        <f>102.48</f>
      </c>
      <c r="J43" s="11">
        <f>1793.73</f>
      </c>
      <c r="K43" s="10">
        <f>19.2</f>
      </c>
      <c r="L43" s="10">
        <f>1.1</f>
      </c>
      <c r="M43" s="21">
        <f>1114021382073</f>
      </c>
      <c r="N43" s="21">
        <f>20253557807025</f>
      </c>
    </row>
    <row r="44">
      <c r="A44" s="22" t="s">
        <v>53</v>
      </c>
      <c r="B44" s="22" t="s">
        <v>130</v>
      </c>
      <c r="C44" s="22" t="s">
        <v>131</v>
      </c>
      <c r="D44" s="22" t="s">
        <v>60</v>
      </c>
      <c r="E44" s="22" t="s">
        <v>61</v>
      </c>
      <c r="F44" s="9">
        <f>593</f>
      </c>
      <c r="G44" s="10">
        <f>13.3</f>
      </c>
      <c r="H44" s="10">
        <f>0.7</f>
      </c>
      <c r="I44" s="11">
        <f>117.3</f>
      </c>
      <c r="J44" s="11">
        <f>2288.28</f>
      </c>
      <c r="K44" s="10">
        <f>16.6</f>
      </c>
      <c r="L44" s="10">
        <f>0.8</f>
      </c>
      <c r="M44" s="21">
        <f>513658406667</f>
      </c>
      <c r="N44" s="21">
        <f>10824136077044</f>
      </c>
    </row>
    <row r="45">
      <c r="A45" s="22" t="s">
        <v>53</v>
      </c>
      <c r="B45" s="22" t="s">
        <v>130</v>
      </c>
      <c r="C45" s="22" t="s">
        <v>131</v>
      </c>
      <c r="D45" s="22" t="s">
        <v>62</v>
      </c>
      <c r="E45" s="22" t="s">
        <v>63</v>
      </c>
      <c r="F45" s="9">
        <f>806</f>
      </c>
      <c r="G45" s="10">
        <f>14</f>
      </c>
      <c r="H45" s="10">
        <f>0.9</f>
      </c>
      <c r="I45" s="11">
        <f>91.57</f>
      </c>
      <c r="J45" s="11">
        <f>1429.87</f>
      </c>
      <c r="K45" s="10">
        <f>21.4</f>
      </c>
      <c r="L45" s="10">
        <f>1.4</f>
      </c>
      <c r="M45" s="21">
        <f>600362975406</f>
      </c>
      <c r="N45" s="21">
        <f>9429421729981</f>
      </c>
    </row>
    <row r="46">
      <c r="A46" s="22" t="s">
        <v>53</v>
      </c>
      <c r="B46" s="22" t="s">
        <v>130</v>
      </c>
      <c r="C46" s="22" t="s">
        <v>131</v>
      </c>
      <c r="D46" s="22" t="s">
        <v>64</v>
      </c>
      <c r="E46" s="22" t="s">
        <v>65</v>
      </c>
      <c r="F46" s="9">
        <f>6</f>
      </c>
      <c r="G46" s="10">
        <f>12.1</f>
      </c>
      <c r="H46" s="10">
        <f>1.3</f>
      </c>
      <c r="I46" s="11">
        <f>158.52</f>
      </c>
      <c r="J46" s="11">
        <f>1494.07</f>
      </c>
      <c r="K46" s="10">
        <f>10.8</f>
      </c>
      <c r="L46" s="10">
        <f>1</f>
      </c>
      <c r="M46" s="21">
        <f>4939000000</f>
      </c>
      <c r="N46" s="21">
        <f>55992000000</f>
      </c>
    </row>
    <row r="47">
      <c r="A47" s="22" t="s">
        <v>53</v>
      </c>
      <c r="B47" s="22" t="s">
        <v>130</v>
      </c>
      <c r="C47" s="22" t="s">
        <v>131</v>
      </c>
      <c r="D47" s="22" t="s">
        <v>66</v>
      </c>
      <c r="E47" s="22" t="s">
        <v>67</v>
      </c>
      <c r="F47" s="9">
        <f>1</f>
      </c>
      <c r="G47" s="10">
        <f>9.5</f>
      </c>
      <c r="H47" s="10">
        <f>1.4</f>
      </c>
      <c r="I47" s="11">
        <f>38.25</f>
      </c>
      <c r="J47" s="11">
        <f>251.98</f>
      </c>
      <c r="K47" s="10">
        <f>9.5</f>
      </c>
      <c r="L47" s="10">
        <f>1.4</f>
      </c>
      <c r="M47" s="21">
        <f>2252720000</f>
      </c>
      <c r="N47" s="21">
        <f>14839720000</f>
      </c>
    </row>
    <row r="48">
      <c r="A48" s="22" t="s">
        <v>53</v>
      </c>
      <c r="B48" s="22" t="s">
        <v>130</v>
      </c>
      <c r="C48" s="22" t="s">
        <v>131</v>
      </c>
      <c r="D48" s="22" t="s">
        <v>68</v>
      </c>
      <c r="E48" s="22" t="s">
        <v>69</v>
      </c>
      <c r="F48" s="9">
        <f>64</f>
      </c>
      <c r="G48" s="10">
        <f>8.2</f>
      </c>
      <c r="H48" s="10">
        <f>0.6</f>
      </c>
      <c r="I48" s="11">
        <f>197.93</f>
      </c>
      <c r="J48" s="11">
        <f>2687.2</f>
      </c>
      <c r="K48" s="10">
        <f>16.6</f>
      </c>
      <c r="L48" s="10">
        <f>0.9</f>
      </c>
      <c r="M48" s="21">
        <f>53036368000</f>
      </c>
      <c r="N48" s="21">
        <f>991305000000</f>
      </c>
    </row>
    <row r="49">
      <c r="A49" s="22" t="s">
        <v>53</v>
      </c>
      <c r="B49" s="22" t="s">
        <v>130</v>
      </c>
      <c r="C49" s="22" t="s">
        <v>131</v>
      </c>
      <c r="D49" s="22" t="s">
        <v>70</v>
      </c>
      <c r="E49" s="22" t="s">
        <v>71</v>
      </c>
      <c r="F49" s="9">
        <f>49</f>
      </c>
      <c r="G49" s="10">
        <f>18.9</f>
      </c>
      <c r="H49" s="10">
        <f>1.1</f>
      </c>
      <c r="I49" s="11">
        <f>108.33</f>
      </c>
      <c r="J49" s="11">
        <f>1921.37</f>
      </c>
      <c r="K49" s="10">
        <f>16.8</f>
      </c>
      <c r="L49" s="10">
        <f>1</f>
      </c>
      <c r="M49" s="21">
        <f>50139666667</f>
      </c>
      <c r="N49" s="21">
        <f>809251577044</f>
      </c>
    </row>
    <row r="50">
      <c r="A50" s="22" t="s">
        <v>53</v>
      </c>
      <c r="B50" s="22" t="s">
        <v>130</v>
      </c>
      <c r="C50" s="22" t="s">
        <v>131</v>
      </c>
      <c r="D50" s="22" t="s">
        <v>72</v>
      </c>
      <c r="E50" s="22" t="s">
        <v>73</v>
      </c>
      <c r="F50" s="9">
        <f>26</f>
      </c>
      <c r="G50" s="10">
        <f>12.9</f>
      </c>
      <c r="H50" s="10">
        <f>0.5</f>
      </c>
      <c r="I50" s="11">
        <f>72.71</f>
      </c>
      <c r="J50" s="11">
        <f>1861.65</f>
      </c>
      <c r="K50" s="10">
        <f>24.2</f>
      </c>
      <c r="L50" s="10">
        <f>0.6</f>
      </c>
      <c r="M50" s="21">
        <f>8686000000</f>
      </c>
      <c r="N50" s="21">
        <f>356995000000</f>
      </c>
    </row>
    <row r="51">
      <c r="A51" s="22" t="s">
        <v>53</v>
      </c>
      <c r="B51" s="22" t="s">
        <v>130</v>
      </c>
      <c r="C51" s="22" t="s">
        <v>131</v>
      </c>
      <c r="D51" s="22" t="s">
        <v>74</v>
      </c>
      <c r="E51" s="22" t="s">
        <v>75</v>
      </c>
      <c r="F51" s="9">
        <f>14</f>
      </c>
      <c r="G51" s="10">
        <f>17.5</f>
      </c>
      <c r="H51" s="10">
        <f>0.5</f>
      </c>
      <c r="I51" s="11">
        <f>64.47</f>
      </c>
      <c r="J51" s="11">
        <f>2147.86</f>
      </c>
      <c r="K51" s="10">
        <f>12</f>
      </c>
      <c r="L51" s="10">
        <f>0.6</f>
      </c>
      <c r="M51" s="21">
        <f>9658740000</f>
      </c>
      <c r="N51" s="21">
        <f>203578000000</f>
      </c>
    </row>
    <row r="52">
      <c r="A52" s="22" t="s">
        <v>53</v>
      </c>
      <c r="B52" s="22" t="s">
        <v>130</v>
      </c>
      <c r="C52" s="22" t="s">
        <v>131</v>
      </c>
      <c r="D52" s="22" t="s">
        <v>76</v>
      </c>
      <c r="E52" s="22" t="s">
        <v>77</v>
      </c>
      <c r="F52" s="9">
        <f>70</f>
      </c>
      <c r="G52" s="10">
        <f>13</f>
      </c>
      <c r="H52" s="10">
        <f>0.8</f>
      </c>
      <c r="I52" s="11">
        <f>173.89</f>
      </c>
      <c r="J52" s="11">
        <f>2945.15</f>
      </c>
      <c r="K52" s="10">
        <f>13</f>
      </c>
      <c r="L52" s="10">
        <f>0.8</f>
      </c>
      <c r="M52" s="21">
        <f>79218000000</f>
      </c>
      <c r="N52" s="21">
        <f>1285387500000</f>
      </c>
    </row>
    <row r="53">
      <c r="A53" s="22" t="s">
        <v>53</v>
      </c>
      <c r="B53" s="22" t="s">
        <v>130</v>
      </c>
      <c r="C53" s="22" t="s">
        <v>131</v>
      </c>
      <c r="D53" s="22" t="s">
        <v>78</v>
      </c>
      <c r="E53" s="22" t="s">
        <v>79</v>
      </c>
      <c r="F53" s="9">
        <f>7</f>
      </c>
      <c r="G53" s="10">
        <f>12.7</f>
      </c>
      <c r="H53" s="10">
        <f>0.8</f>
      </c>
      <c r="I53" s="11">
        <f>137.31</f>
      </c>
      <c r="J53" s="11">
        <f>2069.59</f>
      </c>
      <c r="K53" s="10">
        <f>26.1</f>
      </c>
      <c r="L53" s="10">
        <f>0.6</f>
      </c>
      <c r="M53" s="21">
        <f>19460000000</f>
      </c>
      <c r="N53" s="21">
        <f>807419000000</f>
      </c>
    </row>
    <row r="54">
      <c r="A54" s="22" t="s">
        <v>53</v>
      </c>
      <c r="B54" s="22" t="s">
        <v>130</v>
      </c>
      <c r="C54" s="22" t="s">
        <v>131</v>
      </c>
      <c r="D54" s="22" t="s">
        <v>80</v>
      </c>
      <c r="E54" s="22" t="s">
        <v>81</v>
      </c>
      <c r="F54" s="9">
        <f>3</f>
      </c>
      <c r="G54" s="10">
        <f>17.5</f>
      </c>
      <c r="H54" s="10">
        <f>0.6</f>
      </c>
      <c r="I54" s="11">
        <f>35.6</f>
      </c>
      <c r="J54" s="11">
        <f>1086.02</f>
      </c>
      <c r="K54" s="10">
        <f>15.5</f>
      </c>
      <c r="L54" s="10">
        <f>0.7</f>
      </c>
      <c r="M54" s="21">
        <f>2264000000</f>
      </c>
      <c r="N54" s="21">
        <f>52544000000</f>
      </c>
    </row>
    <row r="55">
      <c r="A55" s="22" t="s">
        <v>53</v>
      </c>
      <c r="B55" s="22" t="s">
        <v>130</v>
      </c>
      <c r="C55" s="22" t="s">
        <v>131</v>
      </c>
      <c r="D55" s="22" t="s">
        <v>82</v>
      </c>
      <c r="E55" s="22" t="s">
        <v>83</v>
      </c>
      <c r="F55" s="9">
        <f>8</f>
      </c>
      <c r="G55" s="10">
        <f>25</f>
      </c>
      <c r="H55" s="10">
        <f>0.5</f>
      </c>
      <c r="I55" s="11">
        <f>49.67</f>
      </c>
      <c r="J55" s="11">
        <f>2413.6</f>
      </c>
      <c r="K55" s="10">
        <f>10.8</f>
      </c>
      <c r="L55" s="10">
        <f>0.5</f>
      </c>
      <c r="M55" s="21">
        <f>7156000000</f>
      </c>
      <c r="N55" s="21">
        <f>149646000000</f>
      </c>
    </row>
    <row r="56">
      <c r="A56" s="22" t="s">
        <v>53</v>
      </c>
      <c r="B56" s="22" t="s">
        <v>130</v>
      </c>
      <c r="C56" s="22" t="s">
        <v>131</v>
      </c>
      <c r="D56" s="22" t="s">
        <v>84</v>
      </c>
      <c r="E56" s="22" t="s">
        <v>85</v>
      </c>
      <c r="F56" s="9">
        <f>30</f>
      </c>
      <c r="G56" s="10">
        <f>13.3</f>
      </c>
      <c r="H56" s="10">
        <f>0.6</f>
      </c>
      <c r="I56" s="11">
        <f>103.04</f>
      </c>
      <c r="J56" s="11">
        <f>2149.33</f>
      </c>
      <c r="K56" s="10">
        <f>17.4</f>
      </c>
      <c r="L56" s="10">
        <f>0.8</f>
      </c>
      <c r="M56" s="21">
        <f>22963000000</f>
      </c>
      <c r="N56" s="21">
        <f>507031000000</f>
      </c>
    </row>
    <row r="57">
      <c r="A57" s="22" t="s">
        <v>53</v>
      </c>
      <c r="B57" s="22" t="s">
        <v>130</v>
      </c>
      <c r="C57" s="22" t="s">
        <v>131</v>
      </c>
      <c r="D57" s="22" t="s">
        <v>86</v>
      </c>
      <c r="E57" s="22" t="s">
        <v>87</v>
      </c>
      <c r="F57" s="9">
        <f>19</f>
      </c>
      <c r="G57" s="10">
        <f>9.1</f>
      </c>
      <c r="H57" s="10">
        <f>0.5</f>
      </c>
      <c r="I57" s="11">
        <f>144.09</f>
      </c>
      <c r="J57" s="11">
        <f>2831.66</f>
      </c>
      <c r="K57" s="10">
        <f>10.6</f>
      </c>
      <c r="L57" s="10">
        <f>0.4</f>
      </c>
      <c r="M57" s="21">
        <f>18725000000</f>
      </c>
      <c r="N57" s="21">
        <f>465219000000</f>
      </c>
    </row>
    <row r="58">
      <c r="A58" s="22" t="s">
        <v>53</v>
      </c>
      <c r="B58" s="22" t="s">
        <v>130</v>
      </c>
      <c r="C58" s="22" t="s">
        <v>131</v>
      </c>
      <c r="D58" s="22" t="s">
        <v>88</v>
      </c>
      <c r="E58" s="22" t="s">
        <v>89</v>
      </c>
      <c r="F58" s="9">
        <f>11</f>
      </c>
      <c r="G58" s="10">
        <f>7.4</f>
      </c>
      <c r="H58" s="10">
        <f>0.7</f>
      </c>
      <c r="I58" s="11">
        <f>169.78</f>
      </c>
      <c r="J58" s="11">
        <f>1808.31</f>
      </c>
      <c r="K58" s="10">
        <f>10.3</f>
      </c>
      <c r="L58" s="10">
        <f>0.8</f>
      </c>
      <c r="M58" s="21">
        <f>6302000000</f>
      </c>
      <c r="N58" s="21">
        <f>83872000000</f>
      </c>
    </row>
    <row r="59">
      <c r="A59" s="22" t="s">
        <v>53</v>
      </c>
      <c r="B59" s="22" t="s">
        <v>130</v>
      </c>
      <c r="C59" s="22" t="s">
        <v>131</v>
      </c>
      <c r="D59" s="22" t="s">
        <v>90</v>
      </c>
      <c r="E59" s="22" t="s">
        <v>91</v>
      </c>
      <c r="F59" s="9">
        <f>57</f>
      </c>
      <c r="G59" s="10">
        <f>9.6</f>
      </c>
      <c r="H59" s="10">
        <f>0.5</f>
      </c>
      <c r="I59" s="11">
        <f>166.44</f>
      </c>
      <c r="J59" s="11">
        <f>3193.1</f>
      </c>
      <c r="K59" s="10">
        <f>12.2</f>
      </c>
      <c r="L59" s="10">
        <f>0.6</f>
      </c>
      <c r="M59" s="21">
        <f>40753000000</f>
      </c>
      <c r="N59" s="21">
        <f>866355000000</f>
      </c>
    </row>
    <row r="60">
      <c r="A60" s="22" t="s">
        <v>53</v>
      </c>
      <c r="B60" s="22" t="s">
        <v>130</v>
      </c>
      <c r="C60" s="22" t="s">
        <v>131</v>
      </c>
      <c r="D60" s="22" t="s">
        <v>92</v>
      </c>
      <c r="E60" s="22" t="s">
        <v>93</v>
      </c>
      <c r="F60" s="9">
        <f>94</f>
      </c>
      <c r="G60" s="10">
        <f>15.1</f>
      </c>
      <c r="H60" s="10">
        <f>0.7</f>
      </c>
      <c r="I60" s="11">
        <f>100.49</f>
      </c>
      <c r="J60" s="11">
        <f>2139.01</f>
      </c>
      <c r="K60" s="10">
        <f>30.7</f>
      </c>
      <c r="L60" s="10">
        <f>1</f>
      </c>
      <c r="M60" s="21">
        <f>50119000000</f>
      </c>
      <c r="N60" s="21">
        <f>1550818000000</f>
      </c>
    </row>
    <row r="61">
      <c r="A61" s="22" t="s">
        <v>53</v>
      </c>
      <c r="B61" s="22" t="s">
        <v>130</v>
      </c>
      <c r="C61" s="22" t="s">
        <v>131</v>
      </c>
      <c r="D61" s="22" t="s">
        <v>94</v>
      </c>
      <c r="E61" s="22" t="s">
        <v>95</v>
      </c>
      <c r="F61" s="9">
        <f>94</f>
      </c>
      <c r="G61" s="10">
        <f>12.9</f>
      </c>
      <c r="H61" s="10">
        <f>0.9</f>
      </c>
      <c r="I61" s="11">
        <f>120.67</f>
      </c>
      <c r="J61" s="11">
        <f>1810.06</f>
      </c>
      <c r="K61" s="10">
        <f>11.9</f>
      </c>
      <c r="L61" s="10">
        <f>1</f>
      </c>
      <c r="M61" s="21">
        <f>129746000000</f>
      </c>
      <c r="N61" s="21">
        <f>1530444000000</f>
      </c>
    </row>
    <row r="62">
      <c r="A62" s="22" t="s">
        <v>53</v>
      </c>
      <c r="B62" s="22" t="s">
        <v>130</v>
      </c>
      <c r="C62" s="22" t="s">
        <v>131</v>
      </c>
      <c r="D62" s="22" t="s">
        <v>96</v>
      </c>
      <c r="E62" s="22" t="s">
        <v>97</v>
      </c>
      <c r="F62" s="9">
        <f>37</f>
      </c>
      <c r="G62" s="10">
        <f>10.9</f>
      </c>
      <c r="H62" s="10">
        <f>0.4</f>
      </c>
      <c r="I62" s="11">
        <f>104.1</f>
      </c>
      <c r="J62" s="11">
        <f>2857.25</f>
      </c>
      <c r="K62" s="10">
        <f>82</f>
      </c>
      <c r="L62" s="10">
        <f>0.4</f>
      </c>
      <c r="M62" s="21">
        <f>6106000000</f>
      </c>
      <c r="N62" s="21">
        <f>1244440000000</f>
      </c>
    </row>
    <row r="63">
      <c r="A63" s="22" t="s">
        <v>53</v>
      </c>
      <c r="B63" s="22" t="s">
        <v>130</v>
      </c>
      <c r="C63" s="22" t="s">
        <v>131</v>
      </c>
      <c r="D63" s="22" t="s">
        <v>98</v>
      </c>
      <c r="E63" s="22" t="s">
        <v>99</v>
      </c>
      <c r="F63" s="9">
        <f>14</f>
      </c>
      <c r="G63" s="10">
        <f>15</f>
      </c>
      <c r="H63" s="10">
        <f>1.1</f>
      </c>
      <c r="I63" s="11">
        <f>68.14</f>
      </c>
      <c r="J63" s="11">
        <f>908.35</f>
      </c>
      <c r="K63" s="10">
        <f>20.2</f>
      </c>
      <c r="L63" s="10">
        <f>1.8</f>
      </c>
      <c r="M63" s="21">
        <f>19862000000</f>
      </c>
      <c r="N63" s="21">
        <f>223823000000</f>
      </c>
    </row>
    <row r="64">
      <c r="A64" s="22" t="s">
        <v>53</v>
      </c>
      <c r="B64" s="22" t="s">
        <v>130</v>
      </c>
      <c r="C64" s="22" t="s">
        <v>131</v>
      </c>
      <c r="D64" s="22" t="s">
        <v>100</v>
      </c>
      <c r="E64" s="22" t="s">
        <v>101</v>
      </c>
      <c r="F64" s="9">
        <f>60</f>
      </c>
      <c r="G64" s="10">
        <f>17</f>
      </c>
      <c r="H64" s="10">
        <f>0.7</f>
      </c>
      <c r="I64" s="11">
        <f>84.05</f>
      </c>
      <c r="J64" s="11">
        <f>2188.16</f>
      </c>
      <c r="K64" s="10">
        <f>13.2</f>
      </c>
      <c r="L64" s="10">
        <f>0.8</f>
      </c>
      <c r="M64" s="21">
        <f>42500000000</f>
      </c>
      <c r="N64" s="21">
        <f>687313000000</f>
      </c>
    </row>
    <row r="65">
      <c r="A65" s="22" t="s">
        <v>53</v>
      </c>
      <c r="B65" s="22" t="s">
        <v>130</v>
      </c>
      <c r="C65" s="22" t="s">
        <v>131</v>
      </c>
      <c r="D65" s="22" t="s">
        <v>102</v>
      </c>
      <c r="E65" s="22" t="s">
        <v>103</v>
      </c>
      <c r="F65" s="9">
        <f>2</f>
      </c>
      <c r="G65" s="10">
        <f>15</f>
      </c>
      <c r="H65" s="10">
        <f>0.3</f>
      </c>
      <c r="I65" s="11">
        <f>178.6</f>
      </c>
      <c r="J65" s="11">
        <f>9190.04</f>
      </c>
      <c r="K65" s="10">
        <f>15.1</f>
      </c>
      <c r="L65" s="10">
        <f>0.3</f>
      </c>
      <c r="M65" s="21">
        <f>2688000000</f>
      </c>
      <c r="N65" s="21">
        <f>136152000000</f>
      </c>
    </row>
    <row r="66">
      <c r="A66" s="22" t="s">
        <v>53</v>
      </c>
      <c r="B66" s="22" t="s">
        <v>130</v>
      </c>
      <c r="C66" s="22" t="s">
        <v>131</v>
      </c>
      <c r="D66" s="22" t="s">
        <v>104</v>
      </c>
      <c r="E66" s="22" t="s">
        <v>105</v>
      </c>
      <c r="F66" s="9">
        <f>21</f>
      </c>
      <c r="G66" s="10">
        <f>9.5</f>
      </c>
      <c r="H66" s="10">
        <f>0.5</f>
      </c>
      <c r="I66" s="11">
        <f>180.74</f>
      </c>
      <c r="J66" s="11">
        <f>3595</f>
      </c>
      <c r="K66" s="10">
        <f>10.8</f>
      </c>
      <c r="L66" s="10">
        <f>0.5</f>
      </c>
      <c r="M66" s="21">
        <f>18498000000</f>
      </c>
      <c r="N66" s="21">
        <f>366358000000</f>
      </c>
    </row>
    <row r="67">
      <c r="A67" s="22" t="s">
        <v>53</v>
      </c>
      <c r="B67" s="22" t="s">
        <v>130</v>
      </c>
      <c r="C67" s="22" t="s">
        <v>131</v>
      </c>
      <c r="D67" s="22" t="s">
        <v>106</v>
      </c>
      <c r="E67" s="22" t="s">
        <v>107</v>
      </c>
      <c r="F67" s="9">
        <f>6</f>
      </c>
      <c r="G67" s="10">
        <f>6.7</f>
      </c>
      <c r="H67" s="10">
        <f>0.7</f>
      </c>
      <c r="I67" s="11">
        <f>208.05</f>
      </c>
      <c r="J67" s="11">
        <f>2012.99</f>
      </c>
      <c r="K67" s="10">
        <f>6</f>
      </c>
      <c r="L67" s="10">
        <f>0.8</f>
      </c>
      <c r="M67" s="21">
        <f>17209000000</f>
      </c>
      <c r="N67" s="21">
        <f>127444000000</f>
      </c>
    </row>
    <row r="68">
      <c r="A68" s="22" t="s">
        <v>53</v>
      </c>
      <c r="B68" s="22" t="s">
        <v>130</v>
      </c>
      <c r="C68" s="22" t="s">
        <v>131</v>
      </c>
      <c r="D68" s="22" t="s">
        <v>108</v>
      </c>
      <c r="E68" s="22" t="s">
        <v>109</v>
      </c>
      <c r="F68" s="9">
        <f>3</f>
      </c>
      <c r="G68" s="10">
        <f>"－"</f>
      </c>
      <c r="H68" s="10">
        <f>7.2</f>
      </c>
      <c r="I68" s="11">
        <f>-385.88</f>
      </c>
      <c r="J68" s="11">
        <f>220.62</f>
      </c>
      <c r="K68" s="10">
        <f>"－"</f>
      </c>
      <c r="L68" s="10">
        <f>1.3</f>
      </c>
      <c r="M68" s="21">
        <f>-800000000</f>
      </c>
      <c r="N68" s="21">
        <f>35276000000</f>
      </c>
    </row>
    <row r="69">
      <c r="A69" s="22" t="s">
        <v>53</v>
      </c>
      <c r="B69" s="22" t="s">
        <v>130</v>
      </c>
      <c r="C69" s="22" t="s">
        <v>131</v>
      </c>
      <c r="D69" s="22" t="s">
        <v>110</v>
      </c>
      <c r="E69" s="22" t="s">
        <v>111</v>
      </c>
      <c r="F69" s="9">
        <f>20</f>
      </c>
      <c r="G69" s="10">
        <f>8.7</f>
      </c>
      <c r="H69" s="10">
        <f>0.5</f>
      </c>
      <c r="I69" s="11">
        <f>134.86</f>
      </c>
      <c r="J69" s="11">
        <f>2473.43</f>
      </c>
      <c r="K69" s="10">
        <f>11.2</f>
      </c>
      <c r="L69" s="10">
        <f>0.5</f>
      </c>
      <c r="M69" s="21">
        <f>14011000000</f>
      </c>
      <c r="N69" s="21">
        <f>298603000000</f>
      </c>
    </row>
    <row r="70">
      <c r="A70" s="22" t="s">
        <v>53</v>
      </c>
      <c r="B70" s="22" t="s">
        <v>130</v>
      </c>
      <c r="C70" s="22" t="s">
        <v>131</v>
      </c>
      <c r="D70" s="22" t="s">
        <v>112</v>
      </c>
      <c r="E70" s="22" t="s">
        <v>113</v>
      </c>
      <c r="F70" s="9">
        <f>154</f>
      </c>
      <c r="G70" s="10">
        <f>19.4</f>
      </c>
      <c r="H70" s="10">
        <f>1.7</f>
      </c>
      <c r="I70" s="11">
        <f>62.98</f>
      </c>
      <c r="J70" s="11">
        <f>721.48</f>
      </c>
      <c r="K70" s="10">
        <f>30.8</f>
      </c>
      <c r="L70" s="10">
        <f>2.6</f>
      </c>
      <c r="M70" s="21">
        <f>110969153846</f>
      </c>
      <c r="N70" s="21">
        <f>1308093000000</f>
      </c>
    </row>
    <row r="71">
      <c r="A71" s="22" t="s">
        <v>53</v>
      </c>
      <c r="B71" s="22" t="s">
        <v>130</v>
      </c>
      <c r="C71" s="22" t="s">
        <v>131</v>
      </c>
      <c r="D71" s="22" t="s">
        <v>114</v>
      </c>
      <c r="E71" s="22" t="s">
        <v>115</v>
      </c>
      <c r="F71" s="9">
        <f>156</f>
      </c>
      <c r="G71" s="10">
        <f>12</f>
      </c>
      <c r="H71" s="10">
        <f>0.7</f>
      </c>
      <c r="I71" s="11">
        <f>121.08</f>
      </c>
      <c r="J71" s="11">
        <f>2188.83</f>
      </c>
      <c r="K71" s="10">
        <f>13.2</f>
      </c>
      <c r="L71" s="10">
        <f>0.8</f>
      </c>
      <c r="M71" s="21">
        <f>132784479000</f>
      </c>
      <c r="N71" s="21">
        <f>2209791575000</f>
      </c>
    </row>
    <row r="72">
      <c r="A72" s="22" t="s">
        <v>53</v>
      </c>
      <c r="B72" s="22" t="s">
        <v>130</v>
      </c>
      <c r="C72" s="22" t="s">
        <v>131</v>
      </c>
      <c r="D72" s="22" t="s">
        <v>116</v>
      </c>
      <c r="E72" s="22" t="s">
        <v>117</v>
      </c>
      <c r="F72" s="9">
        <f>153</f>
      </c>
      <c r="G72" s="10">
        <f>21.2</f>
      </c>
      <c r="H72" s="10">
        <f>1.3</f>
      </c>
      <c r="I72" s="11">
        <f>56.92</f>
      </c>
      <c r="J72" s="11">
        <f>911.61</f>
      </c>
      <c r="K72" s="10">
        <f>28.4</f>
      </c>
      <c r="L72" s="10">
        <f>1.8</f>
      </c>
      <c r="M72" s="21">
        <f>124908209350</f>
      </c>
      <c r="N72" s="21">
        <f>2007355364450</f>
      </c>
    </row>
    <row r="73">
      <c r="A73" s="22" t="s">
        <v>53</v>
      </c>
      <c r="B73" s="22" t="s">
        <v>130</v>
      </c>
      <c r="C73" s="22" t="s">
        <v>131</v>
      </c>
      <c r="D73" s="22" t="s">
        <v>118</v>
      </c>
      <c r="E73" s="22" t="s">
        <v>119</v>
      </c>
      <c r="F73" s="9">
        <f>12</f>
      </c>
      <c r="G73" s="10">
        <f>10.5</f>
      </c>
      <c r="H73" s="10">
        <f>0.3</f>
      </c>
      <c r="I73" s="11">
        <f>105.03</f>
      </c>
      <c r="J73" s="11">
        <f>4025.79</f>
      </c>
      <c r="K73" s="10">
        <f>22.2</f>
      </c>
      <c r="L73" s="10">
        <f>0.5</f>
      </c>
      <c r="M73" s="21">
        <f>33869023890</f>
      </c>
      <c r="N73" s="21">
        <f>1387817135000</f>
      </c>
    </row>
    <row r="74">
      <c r="A74" s="22" t="s">
        <v>53</v>
      </c>
      <c r="B74" s="22" t="s">
        <v>130</v>
      </c>
      <c r="C74" s="22" t="s">
        <v>131</v>
      </c>
      <c r="D74" s="22" t="s">
        <v>120</v>
      </c>
      <c r="E74" s="22" t="s">
        <v>121</v>
      </c>
      <c r="F74" s="9">
        <f>18</f>
      </c>
      <c r="G74" s="10">
        <f>11</f>
      </c>
      <c r="H74" s="10">
        <f>0.7</f>
      </c>
      <c r="I74" s="11">
        <f>57.62</f>
      </c>
      <c r="J74" s="11">
        <f>892.59</f>
      </c>
      <c r="K74" s="10">
        <f>11.8</f>
      </c>
      <c r="L74" s="10">
        <f>0.9</f>
      </c>
      <c r="M74" s="21">
        <f>19615000000</f>
      </c>
      <c r="N74" s="21">
        <f>262550000000</f>
      </c>
    </row>
    <row r="75">
      <c r="A75" s="22" t="s">
        <v>53</v>
      </c>
      <c r="B75" s="22" t="s">
        <v>130</v>
      </c>
      <c r="C75" s="22" t="s">
        <v>131</v>
      </c>
      <c r="D75" s="22" t="s">
        <v>122</v>
      </c>
      <c r="E75" s="22" t="s">
        <v>123</v>
      </c>
      <c r="F75" s="9">
        <f>"－"</f>
      </c>
      <c r="G75" s="10">
        <f>"－"</f>
      </c>
      <c r="H75" s="10">
        <f>"－"</f>
      </c>
      <c r="I75" s="11">
        <f>"－"</f>
      </c>
      <c r="J75" s="11">
        <f>"－"</f>
      </c>
      <c r="K75" s="10">
        <f>"－"</f>
      </c>
      <c r="L75" s="10">
        <f>"－"</f>
      </c>
      <c r="M75" s="21">
        <f>"－"</f>
      </c>
      <c r="N75" s="21">
        <f>"－"</f>
      </c>
    </row>
    <row r="76">
      <c r="A76" s="22" t="s">
        <v>53</v>
      </c>
      <c r="B76" s="22" t="s">
        <v>130</v>
      </c>
      <c r="C76" s="22" t="s">
        <v>131</v>
      </c>
      <c r="D76" s="22" t="s">
        <v>124</v>
      </c>
      <c r="E76" s="22" t="s">
        <v>125</v>
      </c>
      <c r="F76" s="9">
        <f>9</f>
      </c>
      <c r="G76" s="10">
        <f>14.8</f>
      </c>
      <c r="H76" s="10">
        <f>0.9</f>
      </c>
      <c r="I76" s="11">
        <f>34.44</f>
      </c>
      <c r="J76" s="11">
        <f>555.33</f>
      </c>
      <c r="K76" s="10">
        <f>11</f>
      </c>
      <c r="L76" s="10">
        <f>0.9</f>
      </c>
      <c r="M76" s="21">
        <f>62157000000</f>
      </c>
      <c r="N76" s="21">
        <f>766865000000</f>
      </c>
    </row>
    <row r="77">
      <c r="A77" s="22" t="s">
        <v>53</v>
      </c>
      <c r="B77" s="22" t="s">
        <v>130</v>
      </c>
      <c r="C77" s="22" t="s">
        <v>131</v>
      </c>
      <c r="D77" s="22" t="s">
        <v>126</v>
      </c>
      <c r="E77" s="22" t="s">
        <v>127</v>
      </c>
      <c r="F77" s="9">
        <f>55</f>
      </c>
      <c r="G77" s="10">
        <f>8.8</f>
      </c>
      <c r="H77" s="10">
        <f>0.8</f>
      </c>
      <c r="I77" s="11">
        <f>97.55</f>
      </c>
      <c r="J77" s="11">
        <f>1121</f>
      </c>
      <c r="K77" s="10">
        <f>9.2</f>
      </c>
      <c r="L77" s="10">
        <f>0.9</f>
      </c>
      <c r="M77" s="21">
        <f>71098000000</f>
      </c>
      <c r="N77" s="21">
        <f>762950846500</f>
      </c>
    </row>
    <row r="78">
      <c r="A78" s="22" t="s">
        <v>53</v>
      </c>
      <c r="B78" s="22" t="s">
        <v>130</v>
      </c>
      <c r="C78" s="22" t="s">
        <v>131</v>
      </c>
      <c r="D78" s="22" t="s">
        <v>128</v>
      </c>
      <c r="E78" s="22" t="s">
        <v>129</v>
      </c>
      <c r="F78" s="9">
        <f>165</f>
      </c>
      <c r="G78" s="10">
        <f>18.1</f>
      </c>
      <c r="H78" s="10">
        <f>1.2</f>
      </c>
      <c r="I78" s="11">
        <f>63.92</f>
      </c>
      <c r="J78" s="11">
        <f>978.78</f>
      </c>
      <c r="K78" s="10">
        <f>40.1</f>
      </c>
      <c r="L78" s="10">
        <f>1.8</f>
      </c>
      <c r="M78" s="21">
        <f>48769045210</f>
      </c>
      <c r="N78" s="21">
        <f>1115261224031</f>
      </c>
    </row>
    <row r="79">
      <c r="A79" s="22" t="s">
        <v>53</v>
      </c>
      <c r="B79" s="22" t="s">
        <v>132</v>
      </c>
      <c r="C79" s="22" t="s">
        <v>133</v>
      </c>
      <c r="D79" s="22" t="s">
        <v>56</v>
      </c>
      <c r="E79" s="22" t="s">
        <v>57</v>
      </c>
      <c r="F79" s="9">
        <f>511</f>
      </c>
      <c r="G79" s="10">
        <f>70</f>
      </c>
      <c r="H79" s="10">
        <f>4.3</f>
      </c>
      <c r="I79" s="11">
        <f>20.57</f>
      </c>
      <c r="J79" s="11">
        <f>337.42</f>
      </c>
      <c r="K79" s="10">
        <f>"＊"</f>
      </c>
      <c r="L79" s="10">
        <f>4.2</f>
      </c>
      <c r="M79" s="21">
        <f>2557249853</f>
      </c>
      <c r="N79" s="21">
        <f>1703304659661</f>
      </c>
    </row>
    <row r="80">
      <c r="A80" s="22" t="s">
        <v>53</v>
      </c>
      <c r="B80" s="22" t="s">
        <v>132</v>
      </c>
      <c r="C80" s="22" t="s">
        <v>133</v>
      </c>
      <c r="D80" s="22" t="s">
        <v>58</v>
      </c>
      <c r="E80" s="22" t="s">
        <v>59</v>
      </c>
      <c r="F80" s="9">
        <f>500</f>
      </c>
      <c r="G80" s="10">
        <f>83.2</f>
      </c>
      <c r="H80" s="10">
        <f>4.3</f>
      </c>
      <c r="I80" s="11">
        <f>17.23</f>
      </c>
      <c r="J80" s="11">
        <f>330.83</f>
      </c>
      <c r="K80" s="10">
        <f>"－"</f>
      </c>
      <c r="L80" s="10">
        <f>4.4</f>
      </c>
      <c r="M80" s="21">
        <f>-8853750147</f>
      </c>
      <c r="N80" s="21">
        <f>1592807659661</f>
      </c>
    </row>
    <row r="81">
      <c r="A81" s="22" t="s">
        <v>53</v>
      </c>
      <c r="B81" s="22" t="s">
        <v>132</v>
      </c>
      <c r="C81" s="22" t="s">
        <v>133</v>
      </c>
      <c r="D81" s="22" t="s">
        <v>60</v>
      </c>
      <c r="E81" s="22" t="s">
        <v>61</v>
      </c>
      <c r="F81" s="9">
        <f>68</f>
      </c>
      <c r="G81" s="10">
        <f>458.1</f>
      </c>
      <c r="H81" s="10">
        <f>4.1</f>
      </c>
      <c r="I81" s="11">
        <f>2.44</f>
      </c>
      <c r="J81" s="11">
        <f>269.75</f>
      </c>
      <c r="K81" s="10">
        <f>"－"</f>
      </c>
      <c r="L81" s="10">
        <f>3.2</f>
      </c>
      <c r="M81" s="21">
        <f>-37902587333</f>
      </c>
      <c r="N81" s="21">
        <f>422585774000</f>
      </c>
    </row>
    <row r="82">
      <c r="A82" s="22" t="s">
        <v>53</v>
      </c>
      <c r="B82" s="22" t="s">
        <v>132</v>
      </c>
      <c r="C82" s="22" t="s">
        <v>133</v>
      </c>
      <c r="D82" s="22" t="s">
        <v>62</v>
      </c>
      <c r="E82" s="22" t="s">
        <v>63</v>
      </c>
      <c r="F82" s="9">
        <f>432</f>
      </c>
      <c r="G82" s="10">
        <f>75.9</f>
      </c>
      <c r="H82" s="10">
        <f>4.4</f>
      </c>
      <c r="I82" s="11">
        <f>19.56</f>
      </c>
      <c r="J82" s="11">
        <f>340.44</f>
      </c>
      <c r="K82" s="10">
        <f>191.6</f>
      </c>
      <c r="L82" s="10">
        <f>4.8</f>
      </c>
      <c r="M82" s="21">
        <f>29048837186</f>
      </c>
      <c r="N82" s="21">
        <f>1170221885661</f>
      </c>
    </row>
    <row r="83">
      <c r="A83" s="22" t="s">
        <v>53</v>
      </c>
      <c r="B83" s="22" t="s">
        <v>132</v>
      </c>
      <c r="C83" s="22" t="s">
        <v>133</v>
      </c>
      <c r="D83" s="22" t="s">
        <v>64</v>
      </c>
      <c r="E83" s="22" t="s">
        <v>65</v>
      </c>
      <c r="F83" s="9">
        <f>"－"</f>
      </c>
      <c r="G83" s="10">
        <f>"－"</f>
      </c>
      <c r="H83" s="10">
        <f>"－"</f>
      </c>
      <c r="I83" s="11">
        <f>"－"</f>
      </c>
      <c r="J83" s="11">
        <f>"－"</f>
      </c>
      <c r="K83" s="10">
        <f>"－"</f>
      </c>
      <c r="L83" s="10">
        <f>"－"</f>
      </c>
      <c r="M83" s="21">
        <f>"－"</f>
      </c>
      <c r="N83" s="21">
        <f>"－"</f>
      </c>
    </row>
    <row r="84">
      <c r="A84" s="22" t="s">
        <v>53</v>
      </c>
      <c r="B84" s="22" t="s">
        <v>132</v>
      </c>
      <c r="C84" s="22" t="s">
        <v>133</v>
      </c>
      <c r="D84" s="22" t="s">
        <v>66</v>
      </c>
      <c r="E84" s="22" t="s">
        <v>67</v>
      </c>
      <c r="F84" s="9">
        <f>"－"</f>
      </c>
      <c r="G84" s="10">
        <f>"－"</f>
      </c>
      <c r="H84" s="10">
        <f>"－"</f>
      </c>
      <c r="I84" s="11">
        <f>"－"</f>
      </c>
      <c r="J84" s="11">
        <f>"－"</f>
      </c>
      <c r="K84" s="10">
        <f>"－"</f>
      </c>
      <c r="L84" s="10">
        <f>"－"</f>
      </c>
      <c r="M84" s="21">
        <f>"－"</f>
      </c>
      <c r="N84" s="21">
        <f>"－"</f>
      </c>
    </row>
    <row r="85">
      <c r="A85" s="22" t="s">
        <v>53</v>
      </c>
      <c r="B85" s="22" t="s">
        <v>132</v>
      </c>
      <c r="C85" s="22" t="s">
        <v>133</v>
      </c>
      <c r="D85" s="22" t="s">
        <v>68</v>
      </c>
      <c r="E85" s="22" t="s">
        <v>69</v>
      </c>
      <c r="F85" s="9">
        <f>8</f>
      </c>
      <c r="G85" s="10">
        <f>14.2</f>
      </c>
      <c r="H85" s="10">
        <f>1.3</f>
      </c>
      <c r="I85" s="11">
        <f>53.99</f>
      </c>
      <c r="J85" s="11">
        <f>569.58</f>
      </c>
      <c r="K85" s="10">
        <f>30.1</f>
      </c>
      <c r="L85" s="10">
        <f>1.8</f>
      </c>
      <c r="M85" s="21">
        <f>1638000000</f>
      </c>
      <c r="N85" s="21">
        <f>27490000000</f>
      </c>
    </row>
    <row r="86">
      <c r="A86" s="22" t="s">
        <v>53</v>
      </c>
      <c r="B86" s="22" t="s">
        <v>132</v>
      </c>
      <c r="C86" s="22" t="s">
        <v>133</v>
      </c>
      <c r="D86" s="22" t="s">
        <v>70</v>
      </c>
      <c r="E86" s="22" t="s">
        <v>71</v>
      </c>
      <c r="F86" s="9">
        <f>4</f>
      </c>
      <c r="G86" s="10">
        <f>40.3</f>
      </c>
      <c r="H86" s="10">
        <f>6.6</f>
      </c>
      <c r="I86" s="11">
        <f>42.14</f>
      </c>
      <c r="J86" s="11">
        <f>255.41</f>
      </c>
      <c r="K86" s="10">
        <f>130.6</f>
      </c>
      <c r="L86" s="10">
        <f>13.2</f>
      </c>
      <c r="M86" s="21">
        <f>553982000</f>
      </c>
      <c r="N86" s="21">
        <f>5501259000</f>
      </c>
    </row>
    <row r="87">
      <c r="A87" s="22" t="s">
        <v>53</v>
      </c>
      <c r="B87" s="22" t="s">
        <v>132</v>
      </c>
      <c r="C87" s="22" t="s">
        <v>133</v>
      </c>
      <c r="D87" s="22" t="s">
        <v>72</v>
      </c>
      <c r="E87" s="22" t="s">
        <v>73</v>
      </c>
      <c r="F87" s="9">
        <f>"－"</f>
      </c>
      <c r="G87" s="10">
        <f>"－"</f>
      </c>
      <c r="H87" s="10">
        <f>"－"</f>
      </c>
      <c r="I87" s="11">
        <f>"－"</f>
      </c>
      <c r="J87" s="11">
        <f>"－"</f>
      </c>
      <c r="K87" s="10">
        <f>"－"</f>
      </c>
      <c r="L87" s="10">
        <f>"－"</f>
      </c>
      <c r="M87" s="21">
        <f>"－"</f>
      </c>
      <c r="N87" s="21">
        <f>"－"</f>
      </c>
    </row>
    <row r="88">
      <c r="A88" s="22" t="s">
        <v>53</v>
      </c>
      <c r="B88" s="22" t="s">
        <v>132</v>
      </c>
      <c r="C88" s="22" t="s">
        <v>133</v>
      </c>
      <c r="D88" s="22" t="s">
        <v>74</v>
      </c>
      <c r="E88" s="22" t="s">
        <v>75</v>
      </c>
      <c r="F88" s="9">
        <f>"－"</f>
      </c>
      <c r="G88" s="10">
        <f>"－"</f>
      </c>
      <c r="H88" s="10">
        <f>"－"</f>
      </c>
      <c r="I88" s="11">
        <f>"－"</f>
      </c>
      <c r="J88" s="11">
        <f>"－"</f>
      </c>
      <c r="K88" s="10">
        <f>"－"</f>
      </c>
      <c r="L88" s="10">
        <f>"－"</f>
      </c>
      <c r="M88" s="21">
        <f>"－"</f>
      </c>
      <c r="N88" s="21">
        <f>"－"</f>
      </c>
    </row>
    <row r="89">
      <c r="A89" s="22" t="s">
        <v>53</v>
      </c>
      <c r="B89" s="22" t="s">
        <v>132</v>
      </c>
      <c r="C89" s="22" t="s">
        <v>133</v>
      </c>
      <c r="D89" s="22" t="s">
        <v>76</v>
      </c>
      <c r="E89" s="22" t="s">
        <v>77</v>
      </c>
      <c r="F89" s="9">
        <f>5</f>
      </c>
      <c r="G89" s="10">
        <f>28.9</f>
      </c>
      <c r="H89" s="10">
        <f>3.3</f>
      </c>
      <c r="I89" s="11">
        <f>45.72</f>
      </c>
      <c r="J89" s="11">
        <f>404.32</f>
      </c>
      <c r="K89" s="10">
        <f>47.7</f>
      </c>
      <c r="L89" s="10">
        <f>3.9</f>
      </c>
      <c r="M89" s="21">
        <f>2150000000</f>
      </c>
      <c r="N89" s="21">
        <f>26189000000</f>
      </c>
    </row>
    <row r="90">
      <c r="A90" s="22" t="s">
        <v>53</v>
      </c>
      <c r="B90" s="22" t="s">
        <v>132</v>
      </c>
      <c r="C90" s="22" t="s">
        <v>133</v>
      </c>
      <c r="D90" s="22" t="s">
        <v>78</v>
      </c>
      <c r="E90" s="22" t="s">
        <v>79</v>
      </c>
      <c r="F90" s="9">
        <f>33</f>
      </c>
      <c r="G90" s="10">
        <f>"－"</f>
      </c>
      <c r="H90" s="10">
        <f>4.6</f>
      </c>
      <c r="I90" s="11">
        <f>-26.3</f>
      </c>
      <c r="J90" s="11">
        <f>146.19</f>
      </c>
      <c r="K90" s="10">
        <f>"－"</f>
      </c>
      <c r="L90" s="10">
        <f>3.4</f>
      </c>
      <c r="M90" s="21">
        <f>-41485236000</f>
      </c>
      <c r="N90" s="21">
        <f>211188515000</f>
      </c>
    </row>
    <row r="91">
      <c r="A91" s="22" t="s">
        <v>53</v>
      </c>
      <c r="B91" s="22" t="s">
        <v>132</v>
      </c>
      <c r="C91" s="22" t="s">
        <v>133</v>
      </c>
      <c r="D91" s="22" t="s">
        <v>80</v>
      </c>
      <c r="E91" s="22" t="s">
        <v>81</v>
      </c>
      <c r="F91" s="9">
        <f>"－"</f>
      </c>
      <c r="G91" s="10">
        <f>"－"</f>
      </c>
      <c r="H91" s="10">
        <f>"－"</f>
      </c>
      <c r="I91" s="11">
        <f>"－"</f>
      </c>
      <c r="J91" s="11">
        <f>"－"</f>
      </c>
      <c r="K91" s="10">
        <f>"－"</f>
      </c>
      <c r="L91" s="10">
        <f>"－"</f>
      </c>
      <c r="M91" s="21">
        <f>"－"</f>
      </c>
      <c r="N91" s="21">
        <f>"－"</f>
      </c>
    </row>
    <row r="92">
      <c r="A92" s="22" t="s">
        <v>53</v>
      </c>
      <c r="B92" s="22" t="s">
        <v>132</v>
      </c>
      <c r="C92" s="22" t="s">
        <v>133</v>
      </c>
      <c r="D92" s="22" t="s">
        <v>82</v>
      </c>
      <c r="E92" s="22" t="s">
        <v>83</v>
      </c>
      <c r="F92" s="9">
        <f>"－"</f>
      </c>
      <c r="G92" s="10">
        <f>"－"</f>
      </c>
      <c r="H92" s="10">
        <f>"－"</f>
      </c>
      <c r="I92" s="11">
        <f>"－"</f>
      </c>
      <c r="J92" s="11">
        <f>"－"</f>
      </c>
      <c r="K92" s="10">
        <f>"－"</f>
      </c>
      <c r="L92" s="10">
        <f>"－"</f>
      </c>
      <c r="M92" s="21">
        <f>"－"</f>
      </c>
      <c r="N92" s="21">
        <f>"－"</f>
      </c>
    </row>
    <row r="93">
      <c r="A93" s="22" t="s">
        <v>53</v>
      </c>
      <c r="B93" s="22" t="s">
        <v>132</v>
      </c>
      <c r="C93" s="22" t="s">
        <v>133</v>
      </c>
      <c r="D93" s="22" t="s">
        <v>84</v>
      </c>
      <c r="E93" s="22" t="s">
        <v>85</v>
      </c>
      <c r="F93" s="9">
        <f>"－"</f>
      </c>
      <c r="G93" s="10">
        <f>"－"</f>
      </c>
      <c r="H93" s="10">
        <f>"－"</f>
      </c>
      <c r="I93" s="11">
        <f>"－"</f>
      </c>
      <c r="J93" s="11">
        <f>"－"</f>
      </c>
      <c r="K93" s="10">
        <f>"－"</f>
      </c>
      <c r="L93" s="10">
        <f>"－"</f>
      </c>
      <c r="M93" s="21">
        <f>"－"</f>
      </c>
      <c r="N93" s="21">
        <f>"－"</f>
      </c>
    </row>
    <row r="94">
      <c r="A94" s="22" t="s">
        <v>53</v>
      </c>
      <c r="B94" s="22" t="s">
        <v>132</v>
      </c>
      <c r="C94" s="22" t="s">
        <v>133</v>
      </c>
      <c r="D94" s="22" t="s">
        <v>86</v>
      </c>
      <c r="E94" s="22" t="s">
        <v>87</v>
      </c>
      <c r="F94" s="9">
        <f>"－"</f>
      </c>
      <c r="G94" s="10">
        <f>"－"</f>
      </c>
      <c r="H94" s="10">
        <f>"－"</f>
      </c>
      <c r="I94" s="11">
        <f>"－"</f>
      </c>
      <c r="J94" s="11">
        <f>"－"</f>
      </c>
      <c r="K94" s="10">
        <f>"－"</f>
      </c>
      <c r="L94" s="10">
        <f>"－"</f>
      </c>
      <c r="M94" s="21">
        <f>"－"</f>
      </c>
      <c r="N94" s="21">
        <f>"－"</f>
      </c>
    </row>
    <row r="95">
      <c r="A95" s="22" t="s">
        <v>53</v>
      </c>
      <c r="B95" s="22" t="s">
        <v>132</v>
      </c>
      <c r="C95" s="22" t="s">
        <v>133</v>
      </c>
      <c r="D95" s="22" t="s">
        <v>88</v>
      </c>
      <c r="E95" s="22" t="s">
        <v>89</v>
      </c>
      <c r="F95" s="9">
        <f>2</f>
      </c>
      <c r="G95" s="10">
        <f>23.8</f>
      </c>
      <c r="H95" s="10">
        <f>2.7</f>
      </c>
      <c r="I95" s="11">
        <f>62.22</f>
      </c>
      <c r="J95" s="11">
        <f>556.27</f>
      </c>
      <c r="K95" s="10">
        <f>23.2</f>
      </c>
      <c r="L95" s="10">
        <f>2.8</f>
      </c>
      <c r="M95" s="21">
        <f>962000000</f>
      </c>
      <c r="N95" s="21">
        <f>7955000000</f>
      </c>
    </row>
    <row r="96">
      <c r="A96" s="22" t="s">
        <v>53</v>
      </c>
      <c r="B96" s="22" t="s">
        <v>132</v>
      </c>
      <c r="C96" s="22" t="s">
        <v>133</v>
      </c>
      <c r="D96" s="22" t="s">
        <v>90</v>
      </c>
      <c r="E96" s="22" t="s">
        <v>91</v>
      </c>
      <c r="F96" s="9">
        <f>"－"</f>
      </c>
      <c r="G96" s="10">
        <f>"－"</f>
      </c>
      <c r="H96" s="10">
        <f>"－"</f>
      </c>
      <c r="I96" s="11">
        <f>"－"</f>
      </c>
      <c r="J96" s="11">
        <f>"－"</f>
      </c>
      <c r="K96" s="10">
        <f>"－"</f>
      </c>
      <c r="L96" s="10">
        <f>"－"</f>
      </c>
      <c r="M96" s="21">
        <f>"－"</f>
      </c>
      <c r="N96" s="21">
        <f>"－"</f>
      </c>
    </row>
    <row r="97">
      <c r="A97" s="22" t="s">
        <v>53</v>
      </c>
      <c r="B97" s="22" t="s">
        <v>132</v>
      </c>
      <c r="C97" s="22" t="s">
        <v>133</v>
      </c>
      <c r="D97" s="22" t="s">
        <v>92</v>
      </c>
      <c r="E97" s="22" t="s">
        <v>93</v>
      </c>
      <c r="F97" s="9">
        <f>3</f>
      </c>
      <c r="G97" s="10">
        <f>"－"</f>
      </c>
      <c r="H97" s="10">
        <f>3.2</f>
      </c>
      <c r="I97" s="11">
        <f>-45.06</f>
      </c>
      <c r="J97" s="11">
        <f>275.58</f>
      </c>
      <c r="K97" s="10">
        <f>"－"</f>
      </c>
      <c r="L97" s="10">
        <f>2.8</f>
      </c>
      <c r="M97" s="21">
        <f>-1511333333</f>
      </c>
      <c r="N97" s="21">
        <f>13369000000</f>
      </c>
    </row>
    <row r="98">
      <c r="A98" s="22" t="s">
        <v>53</v>
      </c>
      <c r="B98" s="22" t="s">
        <v>132</v>
      </c>
      <c r="C98" s="22" t="s">
        <v>133</v>
      </c>
      <c r="D98" s="22" t="s">
        <v>94</v>
      </c>
      <c r="E98" s="22" t="s">
        <v>95</v>
      </c>
      <c r="F98" s="9">
        <f>7</f>
      </c>
      <c r="G98" s="10">
        <f>56.1</f>
      </c>
      <c r="H98" s="10">
        <f>4.7</f>
      </c>
      <c r="I98" s="11">
        <f>30.48</f>
      </c>
      <c r="J98" s="11">
        <f>361.73</f>
      </c>
      <c r="K98" s="10">
        <f>84.4</f>
      </c>
      <c r="L98" s="10">
        <f>4.9</f>
      </c>
      <c r="M98" s="21">
        <f>1294000000</f>
      </c>
      <c r="N98" s="21">
        <f>22438000000</f>
      </c>
    </row>
    <row r="99">
      <c r="A99" s="22" t="s">
        <v>53</v>
      </c>
      <c r="B99" s="22" t="s">
        <v>132</v>
      </c>
      <c r="C99" s="22" t="s">
        <v>133</v>
      </c>
      <c r="D99" s="22" t="s">
        <v>96</v>
      </c>
      <c r="E99" s="22" t="s">
        <v>97</v>
      </c>
      <c r="F99" s="9">
        <f>2</f>
      </c>
      <c r="G99" s="10">
        <f>29</f>
      </c>
      <c r="H99" s="10">
        <f>1.3</f>
      </c>
      <c r="I99" s="11">
        <f>37.5</f>
      </c>
      <c r="J99" s="11">
        <f>808.57</f>
      </c>
      <c r="K99" s="10">
        <f>29.9</f>
      </c>
      <c r="L99" s="10">
        <f>1.4</f>
      </c>
      <c r="M99" s="21">
        <f>364000000</f>
      </c>
      <c r="N99" s="21">
        <f>7805000000</f>
      </c>
    </row>
    <row r="100">
      <c r="A100" s="22" t="s">
        <v>53</v>
      </c>
      <c r="B100" s="22" t="s">
        <v>132</v>
      </c>
      <c r="C100" s="22" t="s">
        <v>133</v>
      </c>
      <c r="D100" s="22" t="s">
        <v>98</v>
      </c>
      <c r="E100" s="22" t="s">
        <v>99</v>
      </c>
      <c r="F100" s="9">
        <f>5</f>
      </c>
      <c r="G100" s="10">
        <f>"－"</f>
      </c>
      <c r="H100" s="10">
        <f>2.9</f>
      </c>
      <c r="I100" s="11">
        <f>-15.23</f>
      </c>
      <c r="J100" s="11">
        <f>132.38</f>
      </c>
      <c r="K100" s="10">
        <f>"－"</f>
      </c>
      <c r="L100" s="10">
        <f>2.1</f>
      </c>
      <c r="M100" s="21">
        <f>-3752000000</f>
      </c>
      <c r="N100" s="21">
        <f>59119000000</f>
      </c>
    </row>
    <row r="101">
      <c r="A101" s="22" t="s">
        <v>53</v>
      </c>
      <c r="B101" s="22" t="s">
        <v>132</v>
      </c>
      <c r="C101" s="22" t="s">
        <v>133</v>
      </c>
      <c r="D101" s="22" t="s">
        <v>100</v>
      </c>
      <c r="E101" s="22" t="s">
        <v>101</v>
      </c>
      <c r="F101" s="9">
        <f>7</f>
      </c>
      <c r="G101" s="10">
        <f>43.4</f>
      </c>
      <c r="H101" s="10">
        <f>5.1</f>
      </c>
      <c r="I101" s="11">
        <f>62.21</f>
      </c>
      <c r="J101" s="11">
        <f>532.16</f>
      </c>
      <c r="K101" s="10">
        <f>46.3</f>
      </c>
      <c r="L101" s="10">
        <f>2.4</f>
      </c>
      <c r="M101" s="21">
        <f>3522000000</f>
      </c>
      <c r="N101" s="21">
        <f>69021000000</f>
      </c>
    </row>
    <row r="102">
      <c r="A102" s="22" t="s">
        <v>53</v>
      </c>
      <c r="B102" s="22" t="s">
        <v>132</v>
      </c>
      <c r="C102" s="22" t="s">
        <v>133</v>
      </c>
      <c r="D102" s="22" t="s">
        <v>102</v>
      </c>
      <c r="E102" s="22" t="s">
        <v>103</v>
      </c>
      <c r="F102" s="9">
        <f>1</f>
      </c>
      <c r="G102" s="10">
        <f>20.9</f>
      </c>
      <c r="H102" s="10">
        <f>0.8</f>
      </c>
      <c r="I102" s="11">
        <f>18.12</f>
      </c>
      <c r="J102" s="11">
        <f>482.93</f>
      </c>
      <c r="K102" s="10">
        <f>20.9</f>
      </c>
      <c r="L102" s="10">
        <f>0.8</f>
      </c>
      <c r="M102" s="21">
        <f>529000000</f>
      </c>
      <c r="N102" s="21">
        <f>14097000000</f>
      </c>
    </row>
    <row r="103">
      <c r="A103" s="22" t="s">
        <v>53</v>
      </c>
      <c r="B103" s="22" t="s">
        <v>132</v>
      </c>
      <c r="C103" s="22" t="s">
        <v>133</v>
      </c>
      <c r="D103" s="22" t="s">
        <v>104</v>
      </c>
      <c r="E103" s="22" t="s">
        <v>105</v>
      </c>
      <c r="F103" s="9">
        <f>"－"</f>
      </c>
      <c r="G103" s="10">
        <f>"－"</f>
      </c>
      <c r="H103" s="10">
        <f>"－"</f>
      </c>
      <c r="I103" s="11">
        <f>"－"</f>
      </c>
      <c r="J103" s="11">
        <f>"－"</f>
      </c>
      <c r="K103" s="10">
        <f>"－"</f>
      </c>
      <c r="L103" s="10">
        <f>"－"</f>
      </c>
      <c r="M103" s="21">
        <f>"－"</f>
      </c>
      <c r="N103" s="21">
        <f>"－"</f>
      </c>
    </row>
    <row r="104">
      <c r="A104" s="22" t="s">
        <v>53</v>
      </c>
      <c r="B104" s="22" t="s">
        <v>132</v>
      </c>
      <c r="C104" s="22" t="s">
        <v>133</v>
      </c>
      <c r="D104" s="22" t="s">
        <v>106</v>
      </c>
      <c r="E104" s="22" t="s">
        <v>107</v>
      </c>
      <c r="F104" s="9">
        <f>"－"</f>
      </c>
      <c r="G104" s="10">
        <f>"－"</f>
      </c>
      <c r="H104" s="10">
        <f>"－"</f>
      </c>
      <c r="I104" s="11">
        <f>"－"</f>
      </c>
      <c r="J104" s="11">
        <f>"－"</f>
      </c>
      <c r="K104" s="10">
        <f>"－"</f>
      </c>
      <c r="L104" s="10">
        <f>"－"</f>
      </c>
      <c r="M104" s="21">
        <f>"－"</f>
      </c>
      <c r="N104" s="21">
        <f>"－"</f>
      </c>
    </row>
    <row r="105">
      <c r="A105" s="22" t="s">
        <v>53</v>
      </c>
      <c r="B105" s="22" t="s">
        <v>132</v>
      </c>
      <c r="C105" s="22" t="s">
        <v>133</v>
      </c>
      <c r="D105" s="22" t="s">
        <v>108</v>
      </c>
      <c r="E105" s="22" t="s">
        <v>109</v>
      </c>
      <c r="F105" s="9">
        <f>1</f>
      </c>
      <c r="G105" s="10">
        <f>"－"</f>
      </c>
      <c r="H105" s="10">
        <f>7.9</f>
      </c>
      <c r="I105" s="11">
        <f>-111.54</f>
      </c>
      <c r="J105" s="11">
        <f>154.14</f>
      </c>
      <c r="K105" s="10">
        <f>"－"</f>
      </c>
      <c r="L105" s="10">
        <f>7.9</f>
      </c>
      <c r="M105" s="21">
        <f>-6729000000</f>
      </c>
      <c r="N105" s="21">
        <f>9299000000</f>
      </c>
    </row>
    <row r="106">
      <c r="A106" s="22" t="s">
        <v>53</v>
      </c>
      <c r="B106" s="22" t="s">
        <v>132</v>
      </c>
      <c r="C106" s="22" t="s">
        <v>133</v>
      </c>
      <c r="D106" s="22" t="s">
        <v>110</v>
      </c>
      <c r="E106" s="22" t="s">
        <v>111</v>
      </c>
      <c r="F106" s="9">
        <f>1</f>
      </c>
      <c r="G106" s="10">
        <f>9.3</f>
      </c>
      <c r="H106" s="10">
        <f>1.6</f>
      </c>
      <c r="I106" s="11">
        <f>45.08</f>
      </c>
      <c r="J106" s="11">
        <f>265.44</f>
      </c>
      <c r="K106" s="10">
        <f>9.3</f>
      </c>
      <c r="L106" s="10">
        <f>1.6</f>
      </c>
      <c r="M106" s="21">
        <f>463000000</f>
      </c>
      <c r="N106" s="21">
        <f>2726000000</f>
      </c>
    </row>
    <row r="107">
      <c r="A107" s="22" t="s">
        <v>53</v>
      </c>
      <c r="B107" s="22" t="s">
        <v>132</v>
      </c>
      <c r="C107" s="22" t="s">
        <v>133</v>
      </c>
      <c r="D107" s="22" t="s">
        <v>112</v>
      </c>
      <c r="E107" s="22" t="s">
        <v>113</v>
      </c>
      <c r="F107" s="9">
        <f>204</f>
      </c>
      <c r="G107" s="10">
        <f>76.3</f>
      </c>
      <c r="H107" s="10">
        <f>4.5</f>
      </c>
      <c r="I107" s="11">
        <f>18.75</f>
      </c>
      <c r="J107" s="11">
        <f>316.12</f>
      </c>
      <c r="K107" s="10">
        <f>157.9</f>
      </c>
      <c r="L107" s="10">
        <f>5.3</f>
      </c>
      <c r="M107" s="21">
        <f>18765474000</f>
      </c>
      <c r="N107" s="21">
        <f>563585823000</f>
      </c>
    </row>
    <row r="108">
      <c r="A108" s="22" t="s">
        <v>53</v>
      </c>
      <c r="B108" s="22" t="s">
        <v>132</v>
      </c>
      <c r="C108" s="22" t="s">
        <v>133</v>
      </c>
      <c r="D108" s="22" t="s">
        <v>114</v>
      </c>
      <c r="E108" s="22" t="s">
        <v>115</v>
      </c>
      <c r="F108" s="9">
        <f>9</f>
      </c>
      <c r="G108" s="10">
        <f>88.5</f>
      </c>
      <c r="H108" s="10">
        <f>4.9</f>
      </c>
      <c r="I108" s="11">
        <f>16.57</f>
      </c>
      <c r="J108" s="11">
        <f>301.6</f>
      </c>
      <c r="K108" s="10">
        <f>65.9</f>
      </c>
      <c r="L108" s="10">
        <f>6</f>
      </c>
      <c r="M108" s="21">
        <f>2230288909</f>
      </c>
      <c r="N108" s="21">
        <f>24696139000</f>
      </c>
    </row>
    <row r="109">
      <c r="A109" s="22" t="s">
        <v>53</v>
      </c>
      <c r="B109" s="22" t="s">
        <v>132</v>
      </c>
      <c r="C109" s="22" t="s">
        <v>133</v>
      </c>
      <c r="D109" s="22" t="s">
        <v>116</v>
      </c>
      <c r="E109" s="22" t="s">
        <v>117</v>
      </c>
      <c r="F109" s="9">
        <f>28</f>
      </c>
      <c r="G109" s="10">
        <f>37</f>
      </c>
      <c r="H109" s="10">
        <f>3.3</f>
      </c>
      <c r="I109" s="11">
        <f>31.54</f>
      </c>
      <c r="J109" s="11">
        <f>353.23</f>
      </c>
      <c r="K109" s="10">
        <f>50.4</f>
      </c>
      <c r="L109" s="10">
        <f>3.3</f>
      </c>
      <c r="M109" s="21">
        <f>3518908714</f>
      </c>
      <c r="N109" s="21">
        <f>53417468000</f>
      </c>
    </row>
    <row r="110">
      <c r="A110" s="22" t="s">
        <v>53</v>
      </c>
      <c r="B110" s="22" t="s">
        <v>132</v>
      </c>
      <c r="C110" s="22" t="s">
        <v>133</v>
      </c>
      <c r="D110" s="22" t="s">
        <v>118</v>
      </c>
      <c r="E110" s="22" t="s">
        <v>119</v>
      </c>
      <c r="F110" s="9">
        <f>"－"</f>
      </c>
      <c r="G110" s="10">
        <f>"－"</f>
      </c>
      <c r="H110" s="10">
        <f>"－"</f>
      </c>
      <c r="I110" s="11">
        <f>"－"</f>
      </c>
      <c r="J110" s="11">
        <f>"－"</f>
      </c>
      <c r="K110" s="10">
        <f>"－"</f>
      </c>
      <c r="L110" s="10">
        <f>"－"</f>
      </c>
      <c r="M110" s="21">
        <f>"－"</f>
      </c>
      <c r="N110" s="21">
        <f>"－"</f>
      </c>
    </row>
    <row r="111">
      <c r="A111" s="22" t="s">
        <v>53</v>
      </c>
      <c r="B111" s="22" t="s">
        <v>132</v>
      </c>
      <c r="C111" s="22" t="s">
        <v>133</v>
      </c>
      <c r="D111" s="22" t="s">
        <v>120</v>
      </c>
      <c r="E111" s="22" t="s">
        <v>121</v>
      </c>
      <c r="F111" s="9">
        <f>2</f>
      </c>
      <c r="G111" s="10">
        <f>2.9</f>
      </c>
      <c r="H111" s="10">
        <f>2</f>
      </c>
      <c r="I111" s="11">
        <f>661.18</f>
      </c>
      <c r="J111" s="11">
        <f>949.29</f>
      </c>
      <c r="K111" s="10">
        <f>8.3</f>
      </c>
      <c r="L111" s="10">
        <f>3.5</f>
      </c>
      <c r="M111" s="21">
        <f>9868000000</f>
      </c>
      <c r="N111" s="21">
        <f>23195000000</f>
      </c>
    </row>
    <row r="112">
      <c r="A112" s="22" t="s">
        <v>53</v>
      </c>
      <c r="B112" s="22" t="s">
        <v>132</v>
      </c>
      <c r="C112" s="22" t="s">
        <v>133</v>
      </c>
      <c r="D112" s="22" t="s">
        <v>122</v>
      </c>
      <c r="E112" s="22" t="s">
        <v>123</v>
      </c>
      <c r="F112" s="9">
        <f>5</f>
      </c>
      <c r="G112" s="10">
        <f>32.7</f>
      </c>
      <c r="H112" s="10">
        <f>2.4</f>
      </c>
      <c r="I112" s="11">
        <f>56.67</f>
      </c>
      <c r="J112" s="11">
        <f>762.46</f>
      </c>
      <c r="K112" s="10">
        <f>341.6</f>
      </c>
      <c r="L112" s="10">
        <f>2.2</f>
      </c>
      <c r="M112" s="21">
        <f>520000000</f>
      </c>
      <c r="N112" s="21">
        <f>80713000000</f>
      </c>
    </row>
    <row r="113">
      <c r="A113" s="22" t="s">
        <v>53</v>
      </c>
      <c r="B113" s="22" t="s">
        <v>132</v>
      </c>
      <c r="C113" s="22" t="s">
        <v>133</v>
      </c>
      <c r="D113" s="22" t="s">
        <v>124</v>
      </c>
      <c r="E113" s="22" t="s">
        <v>125</v>
      </c>
      <c r="F113" s="9">
        <f>4</f>
      </c>
      <c r="G113" s="10">
        <f>19.3</f>
      </c>
      <c r="H113" s="10">
        <f>4.3</f>
      </c>
      <c r="I113" s="11">
        <f>72.42</f>
      </c>
      <c r="J113" s="11">
        <f>323.54</f>
      </c>
      <c r="K113" s="10">
        <f>23.6</f>
      </c>
      <c r="L113" s="10">
        <f>3.7</f>
      </c>
      <c r="M113" s="21">
        <f>1023000000</f>
      </c>
      <c r="N113" s="21">
        <f>6589000000</f>
      </c>
    </row>
    <row r="114">
      <c r="A114" s="22" t="s">
        <v>53</v>
      </c>
      <c r="B114" s="22" t="s">
        <v>132</v>
      </c>
      <c r="C114" s="22" t="s">
        <v>133</v>
      </c>
      <c r="D114" s="22" t="s">
        <v>126</v>
      </c>
      <c r="E114" s="22" t="s">
        <v>127</v>
      </c>
      <c r="F114" s="9">
        <f>21</f>
      </c>
      <c r="G114" s="10">
        <f>37.4</f>
      </c>
      <c r="H114" s="10">
        <f>2.6</f>
      </c>
      <c r="I114" s="11">
        <f>42.26</f>
      </c>
      <c r="J114" s="11">
        <f>596.82</f>
      </c>
      <c r="K114" s="10">
        <f>155.7</f>
      </c>
      <c r="L114" s="10">
        <f>2.9</f>
      </c>
      <c r="M114" s="21">
        <f>2223000000</f>
      </c>
      <c r="N114" s="21">
        <f>120749000000</f>
      </c>
    </row>
    <row r="115">
      <c r="A115" s="22" t="s">
        <v>53</v>
      </c>
      <c r="B115" s="22" t="s">
        <v>132</v>
      </c>
      <c r="C115" s="22" t="s">
        <v>133</v>
      </c>
      <c r="D115" s="22" t="s">
        <v>128</v>
      </c>
      <c r="E115" s="22" t="s">
        <v>129</v>
      </c>
      <c r="F115" s="9">
        <f>159</f>
      </c>
      <c r="G115" s="10">
        <f>112.8</f>
      </c>
      <c r="H115" s="10">
        <f>5</f>
      </c>
      <c r="I115" s="11">
        <f>14.59</f>
      </c>
      <c r="J115" s="11">
        <f>326.96</f>
      </c>
      <c r="K115" s="10">
        <f>280</f>
      </c>
      <c r="L115" s="10">
        <f>5.1</f>
      </c>
      <c r="M115" s="21">
        <f>6410165563</f>
      </c>
      <c r="N115" s="21">
        <f>354161455661</f>
      </c>
    </row>
    <row r="116">
      <c r="A116" s="22" t="s">
        <v>53</v>
      </c>
      <c r="B116" s="22" t="s">
        <v>134</v>
      </c>
      <c r="C116" s="22" t="s">
        <v>134</v>
      </c>
      <c r="D116" s="22" t="s">
        <v>135</v>
      </c>
      <c r="E116" s="22" t="s">
        <v>136</v>
      </c>
      <c r="F116" s="9">
        <f>100</f>
      </c>
      <c r="G116" s="10">
        <f>20.5</f>
      </c>
      <c r="H116" s="10">
        <f>2</f>
      </c>
      <c r="I116" s="11">
        <f>352.6</f>
      </c>
      <c r="J116" s="11">
        <f>3606.48</f>
      </c>
      <c r="K116" s="10">
        <f>15.6</f>
      </c>
      <c r="L116" s="10">
        <f>1.3</f>
      </c>
      <c r="M116" s="21">
        <f>27335577000000</f>
      </c>
      <c r="N116" s="21">
        <f>319904747000000</f>
      </c>
    </row>
    <row r="117">
      <c r="A117" s="22" t="s">
        <v>53</v>
      </c>
      <c r="B117" s="22" t="s">
        <v>134</v>
      </c>
      <c r="C117" s="22" t="s">
        <v>134</v>
      </c>
      <c r="D117" s="22" t="s">
        <v>137</v>
      </c>
      <c r="E117" s="22" t="s">
        <v>138</v>
      </c>
      <c r="F117" s="9">
        <f>394</f>
      </c>
      <c r="G117" s="10">
        <f>15.7</f>
      </c>
      <c r="H117" s="10">
        <f>1.4</f>
      </c>
      <c r="I117" s="11">
        <f>214.27</f>
      </c>
      <c r="J117" s="11">
        <f>2441.95</f>
      </c>
      <c r="K117" s="10">
        <f>14.2</f>
      </c>
      <c r="L117" s="10">
        <f>1.1</f>
      </c>
      <c r="M117" s="21">
        <f>15024565418400</f>
      </c>
      <c r="N117" s="21">
        <f>188529090345847</f>
      </c>
    </row>
    <row r="118">
      <c r="A118" s="22" t="s">
        <v>53</v>
      </c>
      <c r="B118" s="22" t="s">
        <v>134</v>
      </c>
      <c r="C118" s="22" t="s">
        <v>134</v>
      </c>
      <c r="D118" s="22" t="s">
        <v>139</v>
      </c>
      <c r="E118" s="22" t="s">
        <v>140</v>
      </c>
      <c r="F118" s="9">
        <f>1656</f>
      </c>
      <c r="G118" s="10">
        <f>13.8</f>
      </c>
      <c r="H118" s="10">
        <f>0.9</f>
      </c>
      <c r="I118" s="11">
        <f>122.87</f>
      </c>
      <c r="J118" s="11">
        <f>1821.63</f>
      </c>
      <c r="K118" s="10">
        <f>14.8</f>
      </c>
      <c r="L118" s="10">
        <f>1</f>
      </c>
      <c r="M118" s="21">
        <f>5541790332856</f>
      </c>
      <c r="N118" s="21">
        <f>84000121027123</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8"/>
  <sheetViews>
    <sheetView showGridLines="0" workbookViewId="0" zoomScaleNormal="100">
      <pane activePane="bottomLeft" state="frozen" topLeftCell="A6" ySplit="5"/>
      <selection activeCell="A6" pane="bottomLeft" sqref="A6"/>
    </sheetView>
  </sheetViews>
  <sheetFormatPr defaultRowHeight="13.5" x14ac:dyDescent="0.15"/>
  <cols>
    <col min="1" max="1" customWidth="true" style="5" width="12.875" collapsed="true"/>
    <col min="2" max="2" customWidth="true" style="5" width="16.6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x14ac:dyDescent="0.15">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x14ac:dyDescent="0.15">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x14ac:dyDescent="0.15">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x14ac:dyDescent="0.15">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x14ac:dyDescent="0.15">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x14ac:dyDescent="0.15">
      <c r="A6" s="22" t="s">
        <v>53</v>
      </c>
      <c r="B6" s="22" t="s">
        <v>54</v>
      </c>
      <c r="C6" s="22" t="s">
        <v>55</v>
      </c>
      <c r="D6" s="9">
        <f>1508</f>
      </c>
      <c r="E6" s="23">
        <f>20.1</f>
      </c>
      <c r="F6" s="23">
        <f>1.6</f>
      </c>
      <c r="G6" s="11">
        <f>125.74</f>
      </c>
      <c r="H6" s="11">
        <f>1580.79</f>
      </c>
      <c r="I6" s="23">
        <f>22.8</f>
      </c>
      <c r="J6" s="23">
        <f>2.1</f>
      </c>
      <c r="K6" s="24">
        <f>24556329163869</f>
      </c>
      <c r="L6" s="24">
        <f>262780226175895</f>
      </c>
    </row>
    <row r="7">
      <c r="A7" s="22" t="s">
        <v>53</v>
      </c>
      <c r="B7" s="22" t="s">
        <v>130</v>
      </c>
      <c r="C7" s="22" t="s">
        <v>131</v>
      </c>
      <c r="D7" s="9">
        <f>1236</f>
      </c>
      <c r="E7" s="23">
        <f>16.4</f>
      </c>
      <c r="F7" s="23">
        <f>0.9</f>
      </c>
      <c r="G7" s="11">
        <f>82.37</f>
      </c>
      <c r="H7" s="11">
        <f>1553.48</f>
      </c>
      <c r="I7" s="23">
        <f>22</f>
      </c>
      <c r="J7" s="23">
        <f>1.2</f>
      </c>
      <c r="K7" s="24">
        <f>881178494783</f>
      </c>
      <c r="L7" s="24">
        <f>16247022200981</f>
      </c>
    </row>
    <row r="8">
      <c r="A8" s="22" t="s">
        <v>53</v>
      </c>
      <c r="B8" s="22" t="s">
        <v>132</v>
      </c>
      <c r="C8" s="22" t="s">
        <v>133</v>
      </c>
      <c r="D8" s="9">
        <f>439</f>
      </c>
      <c r="E8" s="23">
        <f>100.2</f>
      </c>
      <c r="F8" s="23">
        <f>5.1</f>
      </c>
      <c r="G8" s="11">
        <f>14.79</f>
      </c>
      <c r="H8" s="11">
        <f>290.92</f>
      </c>
      <c r="I8" s="23">
        <f>"－"</f>
      </c>
      <c r="J8" s="23">
        <f>5</f>
      </c>
      <c r="K8" s="24">
        <f>-9393701814</f>
      </c>
      <c r="L8" s="24">
        <f>1254503808661</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2021-07-01T04:57:11Z</dcterms:modified>
</cp:coreProperties>
</file>