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<sst xmlns="http://schemas.openxmlformats.org/spreadsheetml/2006/main" count="871" uniqueCount="141">
  <si>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</si>
  <si>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</si>
  <si>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</si>
  <si>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</si>
  <si>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</si>
  <si>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</si>
  <si>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</si>
  <si>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</si>
  <si>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</si>
  <si>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</si>
  <si>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</si>
  <si>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</si>
  <si>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</si>
  <si>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</si>
  <si>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</si>
  <si>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</si>
  <si>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</si>
  <si>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</si>
  <si>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</si>
  <si>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</si>
  <si>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</si>
  <si>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</si>
  <si>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</si>
  <si>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</si>
  <si>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</si>
  <si>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</si>
  <si>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</si>
  <si>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</si>
  <si>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</si>
  <si>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</si>
  <si>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</si>
  <si>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</si>
  <si>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</si>
  <si>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</si>
  <si>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</si>
  <si>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</si>
  <si>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</si>
  <si>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</si>
  <si>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</si>
  <si>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</si>
  <si>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</si>
  <si>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</si>
  <si>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</si>
  <si>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</si>
  <si>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</si>
  <si>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</si>
  <si>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</si>
  <si>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</si>
  <si>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</si>
  <si>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3.本表の作成に当たって使用した親会社株主に帰属する当期純利益及び純資産は、2021年1月期～2021年12月期の確定数値である。</t>
  </si>
  <si>
    <t xml:space="preserve">       3.Figures of Net Income and Net Assets are based on the fixed figures during the term from January of 2021 to December of 2021.</t>
  </si>
  <si>
    <t xml:space="preserve">    2.本表の作成に当たって使用した当期純利益及び純資産は、2021年1月期～2021年12月期の確定数値である。</t>
  </si>
  <si>
    <t xml:space="preserve">         the term from January of 2021 to December of 2021.</t>
  </si>
  <si>
    <t>2022/03</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</si>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</sst>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2159</f>
      </c>
      <c r="G5" s="10">
        <f>22</f>
      </c>
      <c r="H5" s="10">
        <f>1.2</f>
      </c>
      <c r="I5" s="11">
        <f>102.92</f>
      </c>
      <c r="J5" s="11">
        <f>1934.82</f>
      </c>
      <c r="K5" s="10">
        <f>19.7</f>
      </c>
      <c r="L5" s="10">
        <f>1.3</f>
      </c>
      <c r="M5" s="21">
        <f>36195438048389</f>
      </c>
      <c r="N5" s="21">
        <f>555422797822399</f>
      </c>
      <c r="O5" s="3"/>
      <c r="P5" s="3"/>
      <c r="Q5" s="4"/>
      <c r="R5" s="4"/>
      <c r="S5" s="4"/>
      <c r="T5" s="4"/>
      <c r="U5" s="4"/>
      <c r="V5" s="4"/>
      <c r="W5" s="4"/>
      <c r="X5" s="4"/>
      <c r="Y5" s="4"/>
      <c r="Z5" s="4"/>
      <c r="AA5" s="4"/>
    </row>
    <row r="6">
      <c r="A6" s="22" t="s">
        <v>53</v>
      </c>
      <c r="B6" s="22" t="s">
        <v>54</v>
      </c>
      <c r="C6" s="22" t="s">
        <v>55</v>
      </c>
      <c r="D6" s="22" t="s">
        <v>58</v>
      </c>
      <c r="E6" s="22" t="s">
        <v>59</v>
      </c>
      <c r="F6" s="9">
        <f>100</f>
      </c>
      <c r="G6" s="10">
        <f>30.4</f>
      </c>
      <c r="H6" s="10">
        <f>2.4</f>
      </c>
      <c r="I6" s="11">
        <f>276.82</f>
      </c>
      <c r="J6" s="11">
        <f>3517.28</f>
      </c>
      <c r="K6" s="10">
        <f>18.5</f>
      </c>
      <c r="L6" s="10">
        <f>1.4</f>
      </c>
      <c r="M6" s="21">
        <f>22983638000000</f>
      </c>
      <c r="N6" s="21">
        <f>295770356000000</f>
      </c>
    </row>
    <row r="7">
      <c r="A7" s="22" t="s">
        <v>53</v>
      </c>
      <c r="B7" s="22" t="s">
        <v>54</v>
      </c>
      <c r="C7" s="22" t="s">
        <v>55</v>
      </c>
      <c r="D7" s="22" t="s">
        <v>60</v>
      </c>
      <c r="E7" s="22" t="s">
        <v>61</v>
      </c>
      <c r="F7" s="9">
        <f>397</f>
      </c>
      <c r="G7" s="10">
        <f>23.2</f>
      </c>
      <c r="H7" s="10">
        <f>1.5</f>
      </c>
      <c r="I7" s="11">
        <f>146.92</f>
      </c>
      <c r="J7" s="11">
        <f>2315.67</f>
      </c>
      <c r="K7" s="10">
        <f>22.5</f>
      </c>
      <c r="L7" s="10">
        <f>1.2</f>
      </c>
      <c r="M7" s="21">
        <f>9464025418400</f>
      </c>
      <c r="N7" s="21">
        <f>180359459215552</f>
      </c>
    </row>
    <row r="8">
      <c r="A8" s="22" t="s">
        <v>53</v>
      </c>
      <c r="B8" s="22" t="s">
        <v>54</v>
      </c>
      <c r="C8" s="22" t="s">
        <v>55</v>
      </c>
      <c r="D8" s="22" t="s">
        <v>62</v>
      </c>
      <c r="E8" s="22" t="s">
        <v>63</v>
      </c>
      <c r="F8" s="9">
        <f>1661</f>
      </c>
      <c r="G8" s="10">
        <f>19.9</f>
      </c>
      <c r="H8" s="10">
        <f>0.9</f>
      </c>
      <c r="I8" s="11">
        <f>81.9</f>
      </c>
      <c r="J8" s="11">
        <f>1749.38</f>
      </c>
      <c r="K8" s="10">
        <f>20.6</f>
      </c>
      <c r="L8" s="10">
        <f>1</f>
      </c>
      <c r="M8" s="21">
        <f>3744309629989</f>
      </c>
      <c r="N8" s="21">
        <f>79282135606847</f>
      </c>
    </row>
    <row r="9">
      <c r="A9" s="22" t="s">
        <v>53</v>
      </c>
      <c r="B9" s="22" t="s">
        <v>54</v>
      </c>
      <c r="C9" s="22" t="s">
        <v>55</v>
      </c>
      <c r="D9" s="22" t="s">
        <v>64</v>
      </c>
      <c r="E9" s="22" t="s">
        <v>65</v>
      </c>
      <c r="F9" s="9">
        <f>2025</f>
      </c>
      <c r="G9" s="10">
        <f>23.1</f>
      </c>
      <c r="H9" s="10">
        <f>1.3</f>
      </c>
      <c r="I9" s="11">
        <f>100.83</f>
      </c>
      <c r="J9" s="11">
        <f>1822.72</f>
      </c>
      <c r="K9" s="10">
        <f>21.1</f>
      </c>
      <c r="L9" s="10">
        <f>1.5</f>
      </c>
      <c r="M9" s="21">
        <f>30913109587048</f>
      </c>
      <c r="N9" s="21">
        <f>443292142880232</f>
      </c>
    </row>
    <row r="10">
      <c r="A10" s="22" t="s">
        <v>53</v>
      </c>
      <c r="B10" s="22" t="s">
        <v>54</v>
      </c>
      <c r="C10" s="22" t="s">
        <v>55</v>
      </c>
      <c r="D10" s="22" t="s">
        <v>66</v>
      </c>
      <c r="E10" s="22" t="s">
        <v>67</v>
      </c>
      <c r="F10" s="9">
        <f>912</f>
      </c>
      <c r="G10" s="10">
        <f>22.2</f>
      </c>
      <c r="H10" s="10">
        <f>1.2</f>
      </c>
      <c r="I10" s="11">
        <f>118.42</f>
      </c>
      <c r="J10" s="11">
        <f>2233.43</f>
      </c>
      <c r="K10" s="10">
        <f>23</f>
      </c>
      <c r="L10" s="10">
        <f>1.6</f>
      </c>
      <c r="M10" s="21">
        <f>16872505605704</f>
      </c>
      <c r="N10" s="21">
        <f>250427619584892</f>
      </c>
    </row>
    <row r="11">
      <c r="A11" s="22" t="s">
        <v>53</v>
      </c>
      <c r="B11" s="22" t="s">
        <v>54</v>
      </c>
      <c r="C11" s="22" t="s">
        <v>55</v>
      </c>
      <c r="D11" s="22" t="s">
        <v>68</v>
      </c>
      <c r="E11" s="22" t="s">
        <v>69</v>
      </c>
      <c r="F11" s="9">
        <f>1113</f>
      </c>
      <c r="G11" s="10">
        <f>24</f>
      </c>
      <c r="H11" s="10">
        <f>1.4</f>
      </c>
      <c r="I11" s="11">
        <f>86.43</f>
      </c>
      <c r="J11" s="11">
        <f>1486.18</f>
      </c>
      <c r="K11" s="10">
        <f>18.9</f>
      </c>
      <c r="L11" s="10">
        <f>1.4</f>
      </c>
      <c r="M11" s="21">
        <f>14040603981344</f>
      </c>
      <c r="N11" s="21">
        <f>192864523295340</f>
      </c>
    </row>
    <row r="12">
      <c r="A12" s="22" t="s">
        <v>53</v>
      </c>
      <c r="B12" s="22" t="s">
        <v>54</v>
      </c>
      <c r="C12" s="22" t="s">
        <v>55</v>
      </c>
      <c r="D12" s="22" t="s">
        <v>70</v>
      </c>
      <c r="E12" s="22" t="s">
        <v>71</v>
      </c>
      <c r="F12" s="9">
        <f>8</f>
      </c>
      <c r="G12" s="10">
        <f>14.7</f>
      </c>
      <c r="H12" s="10">
        <f>1.1</f>
      </c>
      <c r="I12" s="11">
        <f>130.72</f>
      </c>
      <c r="J12" s="11">
        <f>1819.77</f>
      </c>
      <c r="K12" s="10">
        <f>15.3</f>
      </c>
      <c r="L12" s="10">
        <f>1.1</f>
      </c>
      <c r="M12" s="21">
        <f>42054000000</f>
      </c>
      <c r="N12" s="21">
        <f>600912000000</f>
      </c>
    </row>
    <row r="13">
      <c r="A13" s="22" t="s">
        <v>53</v>
      </c>
      <c r="B13" s="22" t="s">
        <v>54</v>
      </c>
      <c r="C13" s="22" t="s">
        <v>55</v>
      </c>
      <c r="D13" s="22" t="s">
        <v>72</v>
      </c>
      <c r="E13" s="22" t="s">
        <v>73</v>
      </c>
      <c r="F13" s="9">
        <f>6</f>
      </c>
      <c r="G13" s="10">
        <f>34.7</f>
      </c>
      <c r="H13" s="10">
        <f>0.5</f>
      </c>
      <c r="I13" s="11">
        <f>71.33</f>
      </c>
      <c r="J13" s="11">
        <f>4897.15</f>
      </c>
      <c r="K13" s="10">
        <f>10.2</f>
      </c>
      <c r="L13" s="10">
        <f>0.6</f>
      </c>
      <c r="M13" s="21">
        <f>223771720000</f>
      </c>
      <c r="N13" s="21">
        <f>4022307720000</f>
      </c>
    </row>
    <row r="14">
      <c r="A14" s="22" t="s">
        <v>53</v>
      </c>
      <c r="B14" s="22" t="s">
        <v>54</v>
      </c>
      <c r="C14" s="22" t="s">
        <v>55</v>
      </c>
      <c r="D14" s="22" t="s">
        <v>74</v>
      </c>
      <c r="E14" s="22" t="s">
        <v>75</v>
      </c>
      <c r="F14" s="9">
        <f>96</f>
      </c>
      <c r="G14" s="10">
        <f>10</f>
      </c>
      <c r="H14" s="10">
        <f>0.8</f>
      </c>
      <c r="I14" s="11">
        <f>194.89</f>
      </c>
      <c r="J14" s="11">
        <f>2343.85</f>
      </c>
      <c r="K14" s="10">
        <f>10</f>
      </c>
      <c r="L14" s="10">
        <f>0.9</f>
      </c>
      <c r="M14" s="21">
        <f>1454551000000</f>
      </c>
      <c r="N14" s="21">
        <f>15469652978000</f>
      </c>
    </row>
    <row r="15">
      <c r="A15" s="22" t="s">
        <v>53</v>
      </c>
      <c r="B15" s="22" t="s">
        <v>54</v>
      </c>
      <c r="C15" s="22" t="s">
        <v>55</v>
      </c>
      <c r="D15" s="22" t="s">
        <v>76</v>
      </c>
      <c r="E15" s="22" t="s">
        <v>77</v>
      </c>
      <c r="F15" s="9">
        <f>85</f>
      </c>
      <c r="G15" s="10">
        <f>21.2</f>
      </c>
      <c r="H15" s="10">
        <f>1.2</f>
      </c>
      <c r="I15" s="11">
        <f>116.91</f>
      </c>
      <c r="J15" s="11">
        <f>2015.8</f>
      </c>
      <c r="K15" s="10">
        <f>19.3</f>
      </c>
      <c r="L15" s="10">
        <f>1.5</f>
      </c>
      <c r="M15" s="21">
        <f>1258727236364</f>
      </c>
      <c r="N15" s="21">
        <f>16364025215552</f>
      </c>
    </row>
    <row r="16">
      <c r="A16" s="22" t="s">
        <v>53</v>
      </c>
      <c r="B16" s="22" t="s">
        <v>54</v>
      </c>
      <c r="C16" s="22" t="s">
        <v>55</v>
      </c>
      <c r="D16" s="22" t="s">
        <v>78</v>
      </c>
      <c r="E16" s="22" t="s">
        <v>79</v>
      </c>
      <c r="F16" s="9">
        <f>39</f>
      </c>
      <c r="G16" s="10">
        <f>53.3</f>
      </c>
      <c r="H16" s="10">
        <f>0.7</f>
      </c>
      <c r="I16" s="11">
        <f>25.19</f>
      </c>
      <c r="J16" s="11">
        <f>1890.75</f>
      </c>
      <c r="K16" s="10">
        <f>48.3</f>
      </c>
      <c r="L16" s="10">
        <f>0.8</f>
      </c>
      <c r="M16" s="21">
        <f>62212369340</f>
      </c>
      <c r="N16" s="21">
        <f>3593784369340</f>
      </c>
    </row>
    <row r="17">
      <c r="A17" s="22" t="s">
        <v>53</v>
      </c>
      <c r="B17" s="22" t="s">
        <v>54</v>
      </c>
      <c r="C17" s="22" t="s">
        <v>55</v>
      </c>
      <c r="D17" s="22" t="s">
        <v>80</v>
      </c>
      <c r="E17" s="22" t="s">
        <v>81</v>
      </c>
      <c r="F17" s="9">
        <f>12</f>
      </c>
      <c r="G17" s="10">
        <f>16.7</f>
      </c>
      <c r="H17" s="10">
        <f>0.5</f>
      </c>
      <c r="I17" s="11">
        <f>72.36</f>
      </c>
      <c r="J17" s="11">
        <f>2269.25</f>
      </c>
      <c r="K17" s="10">
        <f>12</f>
      </c>
      <c r="L17" s="10">
        <f>0.6</f>
      </c>
      <c r="M17" s="21">
        <f>125842000000</f>
      </c>
      <c r="N17" s="21">
        <f>2400300000000</f>
      </c>
    </row>
    <row r="18">
      <c r="A18" s="22" t="s">
        <v>53</v>
      </c>
      <c r="B18" s="22" t="s">
        <v>54</v>
      </c>
      <c r="C18" s="22" t="s">
        <v>55</v>
      </c>
      <c r="D18" s="22" t="s">
        <v>82</v>
      </c>
      <c r="E18" s="22" t="s">
        <v>83</v>
      </c>
      <c r="F18" s="9">
        <f>148</f>
      </c>
      <c r="G18" s="10">
        <f>19.1</f>
      </c>
      <c r="H18" s="10">
        <f>1.1</f>
      </c>
      <c r="I18" s="11">
        <f>127.73</f>
      </c>
      <c r="J18" s="11">
        <f>2152.98</f>
      </c>
      <c r="K18" s="10">
        <f>23.8</f>
      </c>
      <c r="L18" s="10">
        <f>1.5</f>
      </c>
      <c r="M18" s="21">
        <f>1940202000000</f>
      </c>
      <c r="N18" s="21">
        <f>29944356000000</f>
      </c>
    </row>
    <row r="19">
      <c r="A19" s="22" t="s">
        <v>53</v>
      </c>
      <c r="B19" s="22" t="s">
        <v>54</v>
      </c>
      <c r="C19" s="22" t="s">
        <v>55</v>
      </c>
      <c r="D19" s="22" t="s">
        <v>84</v>
      </c>
      <c r="E19" s="22" t="s">
        <v>85</v>
      </c>
      <c r="F19" s="9">
        <f>35</f>
      </c>
      <c r="G19" s="10">
        <f>22.8</f>
      </c>
      <c r="H19" s="10">
        <f>1.3</f>
      </c>
      <c r="I19" s="11">
        <f>125.37</f>
      </c>
      <c r="J19" s="11">
        <f>2164.47</f>
      </c>
      <c r="K19" s="10">
        <f>23.9</f>
      </c>
      <c r="L19" s="10">
        <f>2</f>
      </c>
      <c r="M19" s="21">
        <f>1489867000000</f>
      </c>
      <c r="N19" s="21">
        <f>17921000000000</f>
      </c>
    </row>
    <row r="20">
      <c r="A20" s="22" t="s">
        <v>53</v>
      </c>
      <c r="B20" s="22" t="s">
        <v>54</v>
      </c>
      <c r="C20" s="22" t="s">
        <v>55</v>
      </c>
      <c r="D20" s="22" t="s">
        <v>86</v>
      </c>
      <c r="E20" s="22" t="s">
        <v>87</v>
      </c>
      <c r="F20" s="9">
        <f>9</f>
      </c>
      <c r="G20" s="10">
        <f>7</f>
      </c>
      <c r="H20" s="10">
        <f>0.7</f>
      </c>
      <c r="I20" s="11">
        <f>183.81</f>
      </c>
      <c r="J20" s="11">
        <f>1959.49</f>
      </c>
      <c r="K20" s="10">
        <f>11.2</f>
      </c>
      <c r="L20" s="10">
        <f>0.6</f>
      </c>
      <c r="M20" s="21">
        <f>254724000000</f>
      </c>
      <c r="N20" s="21">
        <f>4639393000000</f>
      </c>
    </row>
    <row r="21">
      <c r="A21" s="22" t="s">
        <v>53</v>
      </c>
      <c r="B21" s="22" t="s">
        <v>54</v>
      </c>
      <c r="C21" s="22" t="s">
        <v>55</v>
      </c>
      <c r="D21" s="22" t="s">
        <v>88</v>
      </c>
      <c r="E21" s="22" t="s">
        <v>89</v>
      </c>
      <c r="F21" s="9">
        <f>11</f>
      </c>
      <c r="G21" s="10">
        <f>10.2</f>
      </c>
      <c r="H21" s="10">
        <f>0.8</f>
      </c>
      <c r="I21" s="11">
        <f>186.84</f>
      </c>
      <c r="J21" s="11">
        <f>2397.62</f>
      </c>
      <c r="K21" s="10">
        <f>8.4</f>
      </c>
      <c r="L21" s="10">
        <f>1</f>
      </c>
      <c r="M21" s="21">
        <f>546265000000</f>
      </c>
      <c r="N21" s="21">
        <f>4558603000000</f>
      </c>
    </row>
    <row r="22">
      <c r="A22" s="22" t="s">
        <v>53</v>
      </c>
      <c r="B22" s="22" t="s">
        <v>54</v>
      </c>
      <c r="C22" s="22" t="s">
        <v>55</v>
      </c>
      <c r="D22" s="22" t="s">
        <v>90</v>
      </c>
      <c r="E22" s="22" t="s">
        <v>91</v>
      </c>
      <c r="F22" s="9">
        <f>32</f>
      </c>
      <c r="G22" s="10">
        <f>22.1</f>
      </c>
      <c r="H22" s="10">
        <f>0.9</f>
      </c>
      <c r="I22" s="11">
        <f>127.7</f>
      </c>
      <c r="J22" s="11">
        <f>3057.24</f>
      </c>
      <c r="K22" s="10">
        <f>13.9</f>
      </c>
      <c r="L22" s="10">
        <f>0.9</f>
      </c>
      <c r="M22" s="21">
        <f>378036000000</f>
      </c>
      <c r="N22" s="21">
        <f>5597434000000</f>
      </c>
    </row>
    <row r="23">
      <c r="A23" s="22" t="s">
        <v>53</v>
      </c>
      <c r="B23" s="22" t="s">
        <v>54</v>
      </c>
      <c r="C23" s="22" t="s">
        <v>55</v>
      </c>
      <c r="D23" s="22" t="s">
        <v>92</v>
      </c>
      <c r="E23" s="22" t="s">
        <v>93</v>
      </c>
      <c r="F23" s="9">
        <f>31</f>
      </c>
      <c r="G23" s="10">
        <f>22.1</f>
      </c>
      <c r="H23" s="10">
        <f>0.5</f>
      </c>
      <c r="I23" s="11">
        <f>81.6</f>
      </c>
      <c r="J23" s="11">
        <f>3417.08</f>
      </c>
      <c r="K23" s="10">
        <f>"－"</f>
      </c>
      <c r="L23" s="10">
        <f>0.7</f>
      </c>
      <c r="M23" s="21">
        <f>-7230000000</f>
      </c>
      <c r="N23" s="21">
        <f>8852152000000</f>
      </c>
    </row>
    <row r="24">
      <c r="A24" s="22" t="s">
        <v>53</v>
      </c>
      <c r="B24" s="22" t="s">
        <v>54</v>
      </c>
      <c r="C24" s="22" t="s">
        <v>55</v>
      </c>
      <c r="D24" s="22" t="s">
        <v>94</v>
      </c>
      <c r="E24" s="22" t="s">
        <v>95</v>
      </c>
      <c r="F24" s="9">
        <f>24</f>
      </c>
      <c r="G24" s="10">
        <f>16.1</f>
      </c>
      <c r="H24" s="10">
        <f>0.8</f>
      </c>
      <c r="I24" s="11">
        <f>128.83</f>
      </c>
      <c r="J24" s="11">
        <f>2482.94</f>
      </c>
      <c r="K24" s="10">
        <f>17.6</f>
      </c>
      <c r="L24" s="10">
        <f>0.9</f>
      </c>
      <c r="M24" s="21">
        <f>287123000000</f>
      </c>
      <c r="N24" s="21">
        <f>5831418000000</f>
      </c>
    </row>
    <row r="25">
      <c r="A25" s="22" t="s">
        <v>53</v>
      </c>
      <c r="B25" s="22" t="s">
        <v>54</v>
      </c>
      <c r="C25" s="22" t="s">
        <v>55</v>
      </c>
      <c r="D25" s="22" t="s">
        <v>96</v>
      </c>
      <c r="E25" s="22" t="s">
        <v>97</v>
      </c>
      <c r="F25" s="9">
        <f>42</f>
      </c>
      <c r="G25" s="10">
        <f>11.9</f>
      </c>
      <c r="H25" s="10">
        <f>0.6</f>
      </c>
      <c r="I25" s="11">
        <f>139.6</f>
      </c>
      <c r="J25" s="11">
        <f>2663.83</f>
      </c>
      <c r="K25" s="10">
        <f>15.5</f>
      </c>
      <c r="L25" s="10">
        <f>0.8</f>
      </c>
      <c r="M25" s="21">
        <f>247861000000</f>
      </c>
      <c r="N25" s="21">
        <f>4552019000000</f>
      </c>
    </row>
    <row r="26">
      <c r="A26" s="22" t="s">
        <v>53</v>
      </c>
      <c r="B26" s="22" t="s">
        <v>54</v>
      </c>
      <c r="C26" s="22" t="s">
        <v>55</v>
      </c>
      <c r="D26" s="22" t="s">
        <v>98</v>
      </c>
      <c r="E26" s="22" t="s">
        <v>99</v>
      </c>
      <c r="F26" s="9">
        <f>144</f>
      </c>
      <c r="G26" s="10">
        <f>27.3</f>
      </c>
      <c r="H26" s="10">
        <f>1.3</f>
      </c>
      <c r="I26" s="11">
        <f>104.47</f>
      </c>
      <c r="J26" s="11">
        <f>2180.84</f>
      </c>
      <c r="K26" s="10">
        <f>27.9</f>
      </c>
      <c r="L26" s="10">
        <f>1.6</f>
      </c>
      <c r="M26" s="21">
        <f>1242207000000</f>
      </c>
      <c r="N26" s="21">
        <f>21549078000000</f>
      </c>
    </row>
    <row r="27">
      <c r="A27" s="22" t="s">
        <v>53</v>
      </c>
      <c r="B27" s="22" t="s">
        <v>54</v>
      </c>
      <c r="C27" s="22" t="s">
        <v>55</v>
      </c>
      <c r="D27" s="22" t="s">
        <v>100</v>
      </c>
      <c r="E27" s="22" t="s">
        <v>101</v>
      </c>
      <c r="F27" s="9">
        <f>159</f>
      </c>
      <c r="G27" s="10">
        <f>25.8</f>
      </c>
      <c r="H27" s="10">
        <f>1.8</f>
      </c>
      <c r="I27" s="11">
        <f>148.28</f>
      </c>
      <c r="J27" s="11">
        <f>2168.8</f>
      </c>
      <c r="K27" s="10">
        <f>24</f>
      </c>
      <c r="L27" s="10">
        <f>2.3</f>
      </c>
      <c r="M27" s="21">
        <f>4860494000000</f>
      </c>
      <c r="N27" s="21">
        <f>51553520000000</f>
      </c>
    </row>
    <row r="28">
      <c r="A28" s="22" t="s">
        <v>53</v>
      </c>
      <c r="B28" s="22" t="s">
        <v>54</v>
      </c>
      <c r="C28" s="22" t="s">
        <v>55</v>
      </c>
      <c r="D28" s="22" t="s">
        <v>102</v>
      </c>
      <c r="E28" s="22" t="s">
        <v>103</v>
      </c>
      <c r="F28" s="9">
        <f>57</f>
      </c>
      <c r="G28" s="10">
        <f>38.1</f>
      </c>
      <c r="H28" s="10">
        <f>0.8</f>
      </c>
      <c r="I28" s="11">
        <f>51.59</f>
      </c>
      <c r="J28" s="11">
        <f>2482.11</f>
      </c>
      <c r="K28" s="10">
        <f>22.1</f>
      </c>
      <c r="L28" s="10">
        <f>1.1</f>
      </c>
      <c r="M28" s="21">
        <f>3058306000000</f>
      </c>
      <c r="N28" s="21">
        <f>60815545000000</f>
      </c>
    </row>
    <row r="29">
      <c r="A29" s="22" t="s">
        <v>53</v>
      </c>
      <c r="B29" s="22" t="s">
        <v>54</v>
      </c>
      <c r="C29" s="22" t="s">
        <v>55</v>
      </c>
      <c r="D29" s="22" t="s">
        <v>104</v>
      </c>
      <c r="E29" s="22" t="s">
        <v>105</v>
      </c>
      <c r="F29" s="9">
        <f>33</f>
      </c>
      <c r="G29" s="10">
        <f>26.7</f>
      </c>
      <c r="H29" s="10">
        <f>1.6</f>
      </c>
      <c r="I29" s="11">
        <f>81.74</f>
      </c>
      <c r="J29" s="11">
        <f>1351.46</f>
      </c>
      <c r="K29" s="10">
        <f>54.8</f>
      </c>
      <c r="L29" s="10">
        <f>3.5</f>
      </c>
      <c r="M29" s="21">
        <f>278984000000</f>
      </c>
      <c r="N29" s="21">
        <f>4320183000000</f>
      </c>
    </row>
    <row r="30">
      <c r="A30" s="22" t="s">
        <v>53</v>
      </c>
      <c r="B30" s="22" t="s">
        <v>54</v>
      </c>
      <c r="C30" s="22" t="s">
        <v>55</v>
      </c>
      <c r="D30" s="22" t="s">
        <v>106</v>
      </c>
      <c r="E30" s="22" t="s">
        <v>107</v>
      </c>
      <c r="F30" s="9">
        <f>51</f>
      </c>
      <c r="G30" s="10">
        <f>16.8</f>
      </c>
      <c r="H30" s="10">
        <f>1.5</f>
      </c>
      <c r="I30" s="11">
        <f>183.82</f>
      </c>
      <c r="J30" s="11">
        <f>2078.03</f>
      </c>
      <c r="K30" s="10">
        <f>18.8</f>
      </c>
      <c r="L30" s="10">
        <f>2</f>
      </c>
      <c r="M30" s="21">
        <f>848885000000</f>
      </c>
      <c r="N30" s="21">
        <f>7934809000000</f>
      </c>
    </row>
    <row r="31">
      <c r="A31" s="22" t="s">
        <v>53</v>
      </c>
      <c r="B31" s="22" t="s">
        <v>54</v>
      </c>
      <c r="C31" s="22" t="s">
        <v>55</v>
      </c>
      <c r="D31" s="22" t="s">
        <v>108</v>
      </c>
      <c r="E31" s="22" t="s">
        <v>109</v>
      </c>
      <c r="F31" s="9">
        <f>22</f>
      </c>
      <c r="G31" s="10">
        <f>11.9</f>
      </c>
      <c r="H31" s="10">
        <f>0.7</f>
      </c>
      <c r="I31" s="11">
        <f>106.07</f>
      </c>
      <c r="J31" s="11">
        <f>1902.1</f>
      </c>
      <c r="K31" s="10">
        <f>9.4</f>
      </c>
      <c r="L31" s="10">
        <f>0.5</f>
      </c>
      <c r="M31" s="21">
        <f>766741000000</f>
      </c>
      <c r="N31" s="21">
        <f>13153195000000</f>
      </c>
    </row>
    <row r="32">
      <c r="A32" s="22" t="s">
        <v>53</v>
      </c>
      <c r="B32" s="22" t="s">
        <v>54</v>
      </c>
      <c r="C32" s="22" t="s">
        <v>55</v>
      </c>
      <c r="D32" s="22" t="s">
        <v>110</v>
      </c>
      <c r="E32" s="22" t="s">
        <v>111</v>
      </c>
      <c r="F32" s="9">
        <f>43</f>
      </c>
      <c r="G32" s="10">
        <f>"－"</f>
      </c>
      <c r="H32" s="10">
        <f>1</f>
      </c>
      <c r="I32" s="11">
        <f>-52.5</f>
      </c>
      <c r="J32" s="11">
        <f>2947.08</f>
      </c>
      <c r="K32" s="10">
        <f>"－"</f>
      </c>
      <c r="L32" s="10">
        <f>1.2</f>
      </c>
      <c r="M32" s="21">
        <f>-1185120000000</f>
      </c>
      <c r="N32" s="21">
        <f>16329406000000</f>
      </c>
    </row>
    <row r="33">
      <c r="A33" s="22" t="s">
        <v>53</v>
      </c>
      <c r="B33" s="22" t="s">
        <v>54</v>
      </c>
      <c r="C33" s="22" t="s">
        <v>55</v>
      </c>
      <c r="D33" s="22" t="s">
        <v>112</v>
      </c>
      <c r="E33" s="22" t="s">
        <v>113</v>
      </c>
      <c r="F33" s="9">
        <f>8</f>
      </c>
      <c r="G33" s="10">
        <f>12.2</f>
      </c>
      <c r="H33" s="10">
        <f>1.8</f>
      </c>
      <c r="I33" s="11">
        <f>320.11</f>
      </c>
      <c r="J33" s="11">
        <f>2195.1</f>
      </c>
      <c r="K33" s="10">
        <f>11.7</f>
      </c>
      <c r="L33" s="10">
        <f>2.1</f>
      </c>
      <c r="M33" s="21">
        <f>351982000000</f>
      </c>
      <c r="N33" s="21">
        <f>1929608000000</f>
      </c>
    </row>
    <row r="34">
      <c r="A34" s="22" t="s">
        <v>53</v>
      </c>
      <c r="B34" s="22" t="s">
        <v>54</v>
      </c>
      <c r="C34" s="22" t="s">
        <v>55</v>
      </c>
      <c r="D34" s="22" t="s">
        <v>114</v>
      </c>
      <c r="E34" s="22" t="s">
        <v>115</v>
      </c>
      <c r="F34" s="9">
        <f>3</f>
      </c>
      <c r="G34" s="10">
        <f>"－"</f>
      </c>
      <c r="H34" s="10">
        <f>1.1</f>
      </c>
      <c r="I34" s="11">
        <f>-421.78</f>
      </c>
      <c r="J34" s="11">
        <f>1950.21</f>
      </c>
      <c r="K34" s="10">
        <f>"－"</f>
      </c>
      <c r="L34" s="10">
        <f>1.1</f>
      </c>
      <c r="M34" s="21">
        <f>-688059000000</f>
      </c>
      <c r="N34" s="21">
        <f>2015698000000</f>
      </c>
    </row>
    <row r="35">
      <c r="A35" s="22" t="s">
        <v>53</v>
      </c>
      <c r="B35" s="22" t="s">
        <v>54</v>
      </c>
      <c r="C35" s="22" t="s">
        <v>55</v>
      </c>
      <c r="D35" s="22" t="s">
        <v>116</v>
      </c>
      <c r="E35" s="22" t="s">
        <v>117</v>
      </c>
      <c r="F35" s="9">
        <f>23</f>
      </c>
      <c r="G35" s="10">
        <f>10.7</f>
      </c>
      <c r="H35" s="10">
        <f>0.8</f>
      </c>
      <c r="I35" s="11">
        <f>163.49</f>
      </c>
      <c r="J35" s="11">
        <f>2080.97</f>
      </c>
      <c r="K35" s="10">
        <f>10.9</f>
      </c>
      <c r="L35" s="10">
        <f>0.9</f>
      </c>
      <c r="M35" s="21">
        <f>132973000000</f>
      </c>
      <c r="N35" s="21">
        <f>1658333000000</f>
      </c>
    </row>
    <row r="36">
      <c r="A36" s="22" t="s">
        <v>53</v>
      </c>
      <c r="B36" s="22" t="s">
        <v>54</v>
      </c>
      <c r="C36" s="22" t="s">
        <v>55</v>
      </c>
      <c r="D36" s="22" t="s">
        <v>118</v>
      </c>
      <c r="E36" s="22" t="s">
        <v>119</v>
      </c>
      <c r="F36" s="9">
        <f>234</f>
      </c>
      <c r="G36" s="10">
        <f>22.8</f>
      </c>
      <c r="H36" s="10">
        <f>2.3</f>
      </c>
      <c r="I36" s="11">
        <f>97.54</f>
      </c>
      <c r="J36" s="11">
        <f>952.04</f>
      </c>
      <c r="K36" s="10">
        <f>9.2</f>
      </c>
      <c r="L36" s="10">
        <f>1.7</f>
      </c>
      <c r="M36" s="21">
        <f>8395362000000</f>
      </c>
      <c r="N36" s="21">
        <f>44845012000000</f>
      </c>
    </row>
    <row r="37">
      <c r="A37" s="22" t="s">
        <v>53</v>
      </c>
      <c r="B37" s="22" t="s">
        <v>54</v>
      </c>
      <c r="C37" s="22" t="s">
        <v>55</v>
      </c>
      <c r="D37" s="22" t="s">
        <v>120</v>
      </c>
      <c r="E37" s="22" t="s">
        <v>121</v>
      </c>
      <c r="F37" s="9">
        <f>176</f>
      </c>
      <c r="G37" s="10">
        <f>15.4</f>
      </c>
      <c r="H37" s="10">
        <f>0.9</f>
      </c>
      <c r="I37" s="11">
        <f>123.45</f>
      </c>
      <c r="J37" s="11">
        <f>2120.48</f>
      </c>
      <c r="K37" s="10">
        <f>21.2</f>
      </c>
      <c r="L37" s="10">
        <f>1.2</f>
      </c>
      <c r="M37" s="21">
        <f>1792154666667</f>
      </c>
      <c r="N37" s="21">
        <f>33074996000000</f>
      </c>
    </row>
    <row r="38">
      <c r="A38" s="22" t="s">
        <v>53</v>
      </c>
      <c r="B38" s="22" t="s">
        <v>54</v>
      </c>
      <c r="C38" s="22" t="s">
        <v>55</v>
      </c>
      <c r="D38" s="22" t="s">
        <v>122</v>
      </c>
      <c r="E38" s="22" t="s">
        <v>123</v>
      </c>
      <c r="F38" s="9">
        <f>196</f>
      </c>
      <c r="G38" s="10">
        <f>46.6</f>
      </c>
      <c r="H38" s="10">
        <f>1.7</f>
      </c>
      <c r="I38" s="11">
        <f>48.54</f>
      </c>
      <c r="J38" s="11">
        <f>1331.18</f>
      </c>
      <c r="K38" s="10">
        <f>38.4</f>
      </c>
      <c r="L38" s="10">
        <f>1.9</f>
      </c>
      <c r="M38" s="21">
        <f>970260989829</f>
      </c>
      <c r="N38" s="21">
        <f>19682754597340</f>
      </c>
    </row>
    <row r="39">
      <c r="A39" s="22" t="s">
        <v>53</v>
      </c>
      <c r="B39" s="22" t="s">
        <v>54</v>
      </c>
      <c r="C39" s="22" t="s">
        <v>55</v>
      </c>
      <c r="D39" s="22" t="s">
        <v>124</v>
      </c>
      <c r="E39" s="22" t="s">
        <v>125</v>
      </c>
      <c r="F39" s="9">
        <f>76</f>
      </c>
      <c r="G39" s="10">
        <f>9.9</f>
      </c>
      <c r="H39" s="10">
        <f>0.3</f>
      </c>
      <c r="I39" s="11">
        <f>127.17</f>
      </c>
      <c r="J39" s="11">
        <f>4943.52</f>
      </c>
      <c r="K39" s="10">
        <f>11.1</f>
      </c>
      <c r="L39" s="10">
        <f>0.4</f>
      </c>
      <c r="M39" s="21">
        <f>3043325661341</f>
      </c>
      <c r="N39" s="21">
        <f>79386776142167</f>
      </c>
    </row>
    <row r="40">
      <c r="A40" s="22" t="s">
        <v>53</v>
      </c>
      <c r="B40" s="22" t="s">
        <v>54</v>
      </c>
      <c r="C40" s="22" t="s">
        <v>55</v>
      </c>
      <c r="D40" s="22" t="s">
        <v>126</v>
      </c>
      <c r="E40" s="22" t="s">
        <v>127</v>
      </c>
      <c r="F40" s="9">
        <f>23</f>
      </c>
      <c r="G40" s="10">
        <f>9.4</f>
      </c>
      <c r="H40" s="10">
        <f>0.7</f>
      </c>
      <c r="I40" s="11">
        <f>77.63</f>
      </c>
      <c r="J40" s="11">
        <f>987.88</f>
      </c>
      <c r="K40" s="10">
        <f>10.4</f>
      </c>
      <c r="L40" s="10">
        <f>0.7</f>
      </c>
      <c r="M40" s="21">
        <f>451487000000</f>
      </c>
      <c r="N40" s="21">
        <f>6285014000000</f>
      </c>
    </row>
    <row r="41">
      <c r="A41" s="22" t="s">
        <v>53</v>
      </c>
      <c r="B41" s="22" t="s">
        <v>54</v>
      </c>
      <c r="C41" s="22" t="s">
        <v>55</v>
      </c>
      <c r="D41" s="22" t="s">
        <v>128</v>
      </c>
      <c r="E41" s="22" t="s">
        <v>129</v>
      </c>
      <c r="F41" s="9">
        <f>8</f>
      </c>
      <c r="G41" s="10">
        <f>12.3</f>
      </c>
      <c r="H41" s="10">
        <f>0.8</f>
      </c>
      <c r="I41" s="11">
        <f>247.35</f>
      </c>
      <c r="J41" s="11">
        <f>3888.79</f>
      </c>
      <c r="K41" s="10">
        <f>12.2</f>
      </c>
      <c r="L41" s="10">
        <f>0.8</f>
      </c>
      <c r="M41" s="21">
        <f>1143758000000</f>
      </c>
      <c r="N41" s="21">
        <f>18114806000000</f>
      </c>
    </row>
    <row r="42">
      <c r="A42" s="22" t="s">
        <v>53</v>
      </c>
      <c r="B42" s="22" t="s">
        <v>54</v>
      </c>
      <c r="C42" s="22" t="s">
        <v>55</v>
      </c>
      <c r="D42" s="22" t="s">
        <v>130</v>
      </c>
      <c r="E42" s="22" t="s">
        <v>131</v>
      </c>
      <c r="F42" s="9">
        <f>27</f>
      </c>
      <c r="G42" s="10">
        <f>11</f>
      </c>
      <c r="H42" s="10">
        <f>0.9</f>
      </c>
      <c r="I42" s="11">
        <f>170.2</f>
      </c>
      <c r="J42" s="11">
        <f>2100.66</f>
      </c>
      <c r="K42" s="10">
        <f>13.1</f>
      </c>
      <c r="L42" s="10">
        <f>1</f>
      </c>
      <c r="M42" s="21">
        <f>643757800000</f>
      </c>
      <c r="N42" s="21">
        <f>8344058800000</f>
      </c>
    </row>
    <row r="43">
      <c r="A43" s="22" t="s">
        <v>53</v>
      </c>
      <c r="B43" s="22" t="s">
        <v>54</v>
      </c>
      <c r="C43" s="22" t="s">
        <v>55</v>
      </c>
      <c r="D43" s="22" t="s">
        <v>132</v>
      </c>
      <c r="E43" s="22" t="s">
        <v>133</v>
      </c>
      <c r="F43" s="9">
        <f>75</f>
      </c>
      <c r="G43" s="10">
        <f>14</f>
      </c>
      <c r="H43" s="10">
        <f>1.1</f>
      </c>
      <c r="I43" s="11">
        <f>107.17</f>
      </c>
      <c r="J43" s="11">
        <f>1313.08</f>
      </c>
      <c r="K43" s="10">
        <f>16.8</f>
      </c>
      <c r="L43" s="10">
        <f>1.1</f>
      </c>
      <c r="M43" s="21">
        <f>843367000000</f>
      </c>
      <c r="N43" s="21">
        <f>12632107000000</f>
      </c>
    </row>
    <row r="44">
      <c r="A44" s="22" t="s">
        <v>53</v>
      </c>
      <c r="B44" s="22" t="s">
        <v>54</v>
      </c>
      <c r="C44" s="22" t="s">
        <v>55</v>
      </c>
      <c r="D44" s="22" t="s">
        <v>134</v>
      </c>
      <c r="E44" s="22" t="s">
        <v>135</v>
      </c>
      <c r="F44" s="9">
        <f>223</f>
      </c>
      <c r="G44" s="10">
        <f>51.3</f>
      </c>
      <c r="H44" s="10">
        <f>2.4</f>
      </c>
      <c r="I44" s="11">
        <f>39.35</f>
      </c>
      <c r="J44" s="11">
        <f>851.8</f>
      </c>
      <c r="K44" s="10">
        <f>48.2</f>
      </c>
      <c r="L44" s="10">
        <f>1.7</f>
      </c>
      <c r="M44" s="21">
        <f>940565604848</f>
      </c>
      <c r="N44" s="21">
        <f>27450541000000</f>
      </c>
    </row>
    <row r="45">
      <c r="A45" s="22" t="s">
        <v>53</v>
      </c>
      <c r="B45" s="22" t="s">
        <v>136</v>
      </c>
      <c r="C45" s="22" t="s">
        <v>137</v>
      </c>
      <c r="D45" s="22" t="s">
        <v>56</v>
      </c>
      <c r="E45" s="22" t="s">
        <v>57</v>
      </c>
      <c r="F45" s="9">
        <f>468</f>
      </c>
      <c r="G45" s="10">
        <f>21.5</f>
      </c>
      <c r="H45" s="10">
        <f>0.7</f>
      </c>
      <c r="I45" s="11">
        <f>60.58</f>
      </c>
      <c r="J45" s="11">
        <f>1996.58</f>
      </c>
      <c r="K45" s="10">
        <f>24.5</f>
      </c>
      <c r="L45" s="10">
        <f>0.8</f>
      </c>
      <c r="M45" s="21">
        <f>218657633750</f>
      </c>
      <c r="N45" s="21">
        <f>6359390557000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463</f>
      </c>
      <c r="G49" s="10">
        <f>21.5</f>
      </c>
      <c r="H49" s="10">
        <f>0.7</f>
      </c>
      <c r="I49" s="11">
        <f>61.16</f>
      </c>
      <c r="J49" s="11">
        <f>2014.99</f>
      </c>
      <c r="K49" s="10">
        <f>24.3</f>
      </c>
      <c r="L49" s="10">
        <f>0.8</f>
      </c>
      <c r="M49" s="21">
        <f>217995633750</f>
      </c>
      <c r="N49" s="21">
        <f>6221291557000</f>
      </c>
    </row>
    <row r="50">
      <c r="A50" s="22" t="s">
        <v>53</v>
      </c>
      <c r="B50" s="22" t="s">
        <v>136</v>
      </c>
      <c r="C50" s="22" t="s">
        <v>137</v>
      </c>
      <c r="D50" s="22" t="s">
        <v>66</v>
      </c>
      <c r="E50" s="22" t="s">
        <v>67</v>
      </c>
      <c r="F50" s="9">
        <f>246</f>
      </c>
      <c r="G50" s="10">
        <f>14.8</f>
      </c>
      <c r="H50" s="10">
        <f>0.6</f>
      </c>
      <c r="I50" s="11">
        <f>99.11</f>
      </c>
      <c r="J50" s="11">
        <f>2443.67</f>
      </c>
      <c r="K50" s="10">
        <f>14.7</f>
      </c>
      <c r="L50" s="10">
        <f>0.7</f>
      </c>
      <c r="M50" s="21">
        <f>186631843750</f>
      </c>
      <c r="N50" s="21">
        <f>3901027000000</f>
      </c>
    </row>
    <row r="51">
      <c r="A51" s="22" t="s">
        <v>53</v>
      </c>
      <c r="B51" s="22" t="s">
        <v>136</v>
      </c>
      <c r="C51" s="22" t="s">
        <v>137</v>
      </c>
      <c r="D51" s="22" t="s">
        <v>68</v>
      </c>
      <c r="E51" s="22" t="s">
        <v>69</v>
      </c>
      <c r="F51" s="9">
        <f>217</f>
      </c>
      <c r="G51" s="10">
        <f>63.2</f>
      </c>
      <c r="H51" s="10">
        <f>0.7</f>
      </c>
      <c r="I51" s="11">
        <f>18.13</f>
      </c>
      <c r="J51" s="11">
        <f>1529.03</f>
      </c>
      <c r="K51" s="10">
        <f>81.2</f>
      </c>
      <c r="L51" s="10">
        <f>1.1</f>
      </c>
      <c r="M51" s="21">
        <f>31363790000</f>
      </c>
      <c r="N51" s="21">
        <f>2320264557000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21</f>
      </c>
      <c r="G54" s="10">
        <f>8.6</f>
      </c>
      <c r="H54" s="10">
        <f>0.6</f>
      </c>
      <c r="I54" s="11">
        <f>136.3</f>
      </c>
      <c r="J54" s="11">
        <f>2103.55</f>
      </c>
      <c r="K54" s="10">
        <f>14.2</f>
      </c>
      <c r="L54" s="10">
        <f>1.3</f>
      </c>
      <c r="M54" s="21">
        <f>20189488000</f>
      </c>
      <c r="N54" s="21">
        <f>218492000000</f>
      </c>
    </row>
    <row r="55">
      <c r="A55" s="22" t="s">
        <v>53</v>
      </c>
      <c r="B55" s="22" t="s">
        <v>136</v>
      </c>
      <c r="C55" s="22" t="s">
        <v>137</v>
      </c>
      <c r="D55" s="22" t="s">
        <v>76</v>
      </c>
      <c r="E55" s="22" t="s">
        <v>77</v>
      </c>
      <c r="F55" s="9">
        <f>22</f>
      </c>
      <c r="G55" s="10">
        <f>16.8</f>
      </c>
      <c r="H55" s="10">
        <f>1</f>
      </c>
      <c r="I55" s="11">
        <f>114.76</f>
      </c>
      <c r="J55" s="11">
        <f>1848.24</f>
      </c>
      <c r="K55" s="10">
        <f>15.7</f>
      </c>
      <c r="L55" s="10">
        <f>1.2</f>
      </c>
      <c r="M55" s="21">
        <f>26755000000</f>
      </c>
      <c r="N55" s="21">
        <f>364317000000</f>
      </c>
    </row>
    <row r="56">
      <c r="A56" s="22" t="s">
        <v>53</v>
      </c>
      <c r="B56" s="22" t="s">
        <v>136</v>
      </c>
      <c r="C56" s="22" t="s">
        <v>137</v>
      </c>
      <c r="D56" s="22" t="s">
        <v>78</v>
      </c>
      <c r="E56" s="22" t="s">
        <v>79</v>
      </c>
      <c r="F56" s="9">
        <f>11</f>
      </c>
      <c r="G56" s="10">
        <f>85.7</f>
      </c>
      <c r="H56" s="10">
        <f>0.5</f>
      </c>
      <c r="I56" s="11">
        <f>13.97</f>
      </c>
      <c r="J56" s="11">
        <f>2305.94</f>
      </c>
      <c r="K56" s="10">
        <f>41.6</f>
      </c>
      <c r="L56" s="10">
        <f>0.6</f>
      </c>
      <c r="M56" s="21">
        <f>1190000000</f>
      </c>
      <c r="N56" s="21">
        <f>88548000000</f>
      </c>
    </row>
    <row r="57">
      <c r="A57" s="22" t="s">
        <v>53</v>
      </c>
      <c r="B57" s="22" t="s">
        <v>136</v>
      </c>
      <c r="C57" s="22" t="s">
        <v>137</v>
      </c>
      <c r="D57" s="22" t="s">
        <v>80</v>
      </c>
      <c r="E57" s="22" t="s">
        <v>81</v>
      </c>
      <c r="F57" s="9">
        <f>6</f>
      </c>
      <c r="G57" s="10">
        <f>24</f>
      </c>
      <c r="H57" s="10">
        <f>0.5</f>
      </c>
      <c r="I57" s="11">
        <f>53.21</f>
      </c>
      <c r="J57" s="11">
        <f>2695.15</f>
      </c>
      <c r="K57" s="10">
        <f>12.5</f>
      </c>
      <c r="L57" s="10">
        <f>0.5</f>
      </c>
      <c r="M57" s="21">
        <f>4393000000</f>
      </c>
      <c r="N57" s="21">
        <f>110885000000</f>
      </c>
    </row>
    <row r="58">
      <c r="A58" s="22" t="s">
        <v>53</v>
      </c>
      <c r="B58" s="22" t="s">
        <v>136</v>
      </c>
      <c r="C58" s="22" t="s">
        <v>137</v>
      </c>
      <c r="D58" s="22" t="s">
        <v>82</v>
      </c>
      <c r="E58" s="22" t="s">
        <v>83</v>
      </c>
      <c r="F58" s="9">
        <f>29</f>
      </c>
      <c r="G58" s="10">
        <f>11.9</f>
      </c>
      <c r="H58" s="10">
        <f>0.5</f>
      </c>
      <c r="I58" s="11">
        <f>122.01</f>
      </c>
      <c r="J58" s="11">
        <f>2721.92</f>
      </c>
      <c r="K58" s="10">
        <f>12.3</f>
      </c>
      <c r="L58" s="10">
        <f>0.7</f>
      </c>
      <c r="M58" s="21">
        <f>31970843750</f>
      </c>
      <c r="N58" s="21">
        <f>579269000000</f>
      </c>
    </row>
    <row r="59">
      <c r="A59" s="22" t="s">
        <v>53</v>
      </c>
      <c r="B59" s="22" t="s">
        <v>136</v>
      </c>
      <c r="C59" s="22" t="s">
        <v>137</v>
      </c>
      <c r="D59" s="22" t="s">
        <v>84</v>
      </c>
      <c r="E59" s="22" t="s">
        <v>85</v>
      </c>
      <c r="F59" s="9">
        <f>2</f>
      </c>
      <c r="G59" s="10">
        <f>7</f>
      </c>
      <c r="H59" s="10">
        <f>1.2</f>
      </c>
      <c r="I59" s="11">
        <f>277.61</f>
      </c>
      <c r="J59" s="11">
        <f>1659.1</f>
      </c>
      <c r="K59" s="10">
        <f>5.4</f>
      </c>
      <c r="L59" s="10">
        <f>1.5</f>
      </c>
      <c r="M59" s="21">
        <f>5022000000</f>
      </c>
      <c r="N59" s="21">
        <f>18301000000</f>
      </c>
    </row>
    <row r="60">
      <c r="A60" s="22" t="s">
        <v>53</v>
      </c>
      <c r="B60" s="22" t="s">
        <v>136</v>
      </c>
      <c r="C60" s="22" t="s">
        <v>137</v>
      </c>
      <c r="D60" s="22" t="s">
        <v>86</v>
      </c>
      <c r="E60" s="22" t="s">
        <v>87</v>
      </c>
      <c r="F60" s="9">
        <f>2</f>
      </c>
      <c r="G60" s="10">
        <f>18</f>
      </c>
      <c r="H60" s="10">
        <f>1.2</f>
      </c>
      <c r="I60" s="11">
        <f>88.75</f>
      </c>
      <c r="J60" s="11">
        <f>1306.82</f>
      </c>
      <c r="K60" s="10">
        <f>17.3</f>
      </c>
      <c r="L60" s="10">
        <f>1.2</f>
      </c>
      <c r="M60" s="21">
        <f>2406000000</f>
      </c>
      <c r="N60" s="21">
        <f>35965000000</f>
      </c>
    </row>
    <row r="61">
      <c r="A61" s="22" t="s">
        <v>53</v>
      </c>
      <c r="B61" s="22" t="s">
        <v>136</v>
      </c>
      <c r="C61" s="22" t="s">
        <v>137</v>
      </c>
      <c r="D61" s="22" t="s">
        <v>88</v>
      </c>
      <c r="E61" s="22" t="s">
        <v>89</v>
      </c>
      <c r="F61" s="9">
        <f>6</f>
      </c>
      <c r="G61" s="10">
        <f>9.6</f>
      </c>
      <c r="H61" s="10">
        <f>0.4</f>
      </c>
      <c r="I61" s="11">
        <f>123.84</f>
      </c>
      <c r="J61" s="11">
        <f>2657.17</f>
      </c>
      <c r="K61" s="10">
        <f>9.2</f>
      </c>
      <c r="L61" s="10">
        <f>0.4</f>
      </c>
      <c r="M61" s="21">
        <f>7101000000</f>
      </c>
      <c r="N61" s="21">
        <f>150551000000</f>
      </c>
    </row>
    <row r="62">
      <c r="A62" s="22" t="s">
        <v>53</v>
      </c>
      <c r="B62" s="22" t="s">
        <v>136</v>
      </c>
      <c r="C62" s="22" t="s">
        <v>137</v>
      </c>
      <c r="D62" s="22" t="s">
        <v>90</v>
      </c>
      <c r="E62" s="22" t="s">
        <v>91</v>
      </c>
      <c r="F62" s="9">
        <f>13</f>
      </c>
      <c r="G62" s="10">
        <f>10</f>
      </c>
      <c r="H62" s="10">
        <f>0.6</f>
      </c>
      <c r="I62" s="11">
        <f>145.03</f>
      </c>
      <c r="J62" s="11">
        <f>2393.78</f>
      </c>
      <c r="K62" s="10">
        <f>10.2</f>
      </c>
      <c r="L62" s="10">
        <f>0.7</f>
      </c>
      <c r="M62" s="21">
        <f>11855000000</f>
      </c>
      <c r="N62" s="21">
        <f>176006000000</f>
      </c>
    </row>
    <row r="63">
      <c r="A63" s="22" t="s">
        <v>53</v>
      </c>
      <c r="B63" s="22" t="s">
        <v>136</v>
      </c>
      <c r="C63" s="22" t="s">
        <v>137</v>
      </c>
      <c r="D63" s="22" t="s">
        <v>92</v>
      </c>
      <c r="E63" s="22" t="s">
        <v>93</v>
      </c>
      <c r="F63" s="9">
        <f>7</f>
      </c>
      <c r="G63" s="10">
        <f>10.5</f>
      </c>
      <c r="H63" s="10">
        <f>0.4</f>
      </c>
      <c r="I63" s="11">
        <f>92.45</f>
      </c>
      <c r="J63" s="11">
        <f>2736.16</f>
      </c>
      <c r="K63" s="10">
        <f>9.6</f>
      </c>
      <c r="L63" s="10">
        <f>0.3</f>
      </c>
      <c r="M63" s="21">
        <f>2778000000</f>
      </c>
      <c r="N63" s="21">
        <f>78177000000</f>
      </c>
    </row>
    <row r="64">
      <c r="A64" s="22" t="s">
        <v>53</v>
      </c>
      <c r="B64" s="22" t="s">
        <v>136</v>
      </c>
      <c r="C64" s="22" t="s">
        <v>137</v>
      </c>
      <c r="D64" s="22" t="s">
        <v>94</v>
      </c>
      <c r="E64" s="22" t="s">
        <v>95</v>
      </c>
      <c r="F64" s="9">
        <f>6</f>
      </c>
      <c r="G64" s="10">
        <f>12.3</f>
      </c>
      <c r="H64" s="10">
        <f>0.8</f>
      </c>
      <c r="I64" s="11">
        <f>104.55</f>
      </c>
      <c r="J64" s="11">
        <f>1688.68</f>
      </c>
      <c r="K64" s="10">
        <f>13.8</f>
      </c>
      <c r="L64" s="10">
        <f>0.7</f>
      </c>
      <c r="M64" s="21">
        <f>2545000000</f>
      </c>
      <c r="N64" s="21">
        <f>48248000000</f>
      </c>
    </row>
    <row r="65">
      <c r="A65" s="22" t="s">
        <v>53</v>
      </c>
      <c r="B65" s="22" t="s">
        <v>136</v>
      </c>
      <c r="C65" s="22" t="s">
        <v>137</v>
      </c>
      <c r="D65" s="22" t="s">
        <v>96</v>
      </c>
      <c r="E65" s="22" t="s">
        <v>97</v>
      </c>
      <c r="F65" s="9">
        <f>30</f>
      </c>
      <c r="G65" s="10">
        <f>10.8</f>
      </c>
      <c r="H65" s="10">
        <f>0.5</f>
      </c>
      <c r="I65" s="11">
        <f>156.95</f>
      </c>
      <c r="J65" s="11">
        <f>3370.04</f>
      </c>
      <c r="K65" s="10">
        <f>10.6</f>
      </c>
      <c r="L65" s="10">
        <f>0.6</f>
      </c>
      <c r="M65" s="21">
        <f>22320000000</f>
      </c>
      <c r="N65" s="21">
        <f>424918000000</f>
      </c>
    </row>
    <row r="66">
      <c r="A66" s="22" t="s">
        <v>53</v>
      </c>
      <c r="B66" s="22" t="s">
        <v>136</v>
      </c>
      <c r="C66" s="22" t="s">
        <v>137</v>
      </c>
      <c r="D66" s="22" t="s">
        <v>98</v>
      </c>
      <c r="E66" s="22" t="s">
        <v>99</v>
      </c>
      <c r="F66" s="9">
        <f>39</f>
      </c>
      <c r="G66" s="10">
        <f>14.5</f>
      </c>
      <c r="H66" s="10">
        <f>0.7</f>
      </c>
      <c r="I66" s="11">
        <f>116</f>
      </c>
      <c r="J66" s="11">
        <f>2584.71</f>
      </c>
      <c r="K66" s="10">
        <f>17.2</f>
      </c>
      <c r="L66" s="10">
        <f>0.7</f>
      </c>
      <c r="M66" s="21">
        <f>20184000000</f>
      </c>
      <c r="N66" s="21">
        <f>470414000000</f>
      </c>
    </row>
    <row r="67">
      <c r="A67" s="22" t="s">
        <v>53</v>
      </c>
      <c r="B67" s="22" t="s">
        <v>136</v>
      </c>
      <c r="C67" s="22" t="s">
        <v>137</v>
      </c>
      <c r="D67" s="22" t="s">
        <v>100</v>
      </c>
      <c r="E67" s="22" t="s">
        <v>101</v>
      </c>
      <c r="F67" s="9">
        <f>33</f>
      </c>
      <c r="G67" s="10">
        <f>19.9</f>
      </c>
      <c r="H67" s="10">
        <f>1</f>
      </c>
      <c r="I67" s="11">
        <f>73.24</f>
      </c>
      <c r="J67" s="11">
        <f>1490.26</f>
      </c>
      <c r="K67" s="10">
        <f>15.6</f>
      </c>
      <c r="L67" s="10">
        <f>1.2</f>
      </c>
      <c r="M67" s="21">
        <f>30457000000</f>
      </c>
      <c r="N67" s="21">
        <f>404267000000</f>
      </c>
    </row>
    <row r="68">
      <c r="A68" s="22" t="s">
        <v>53</v>
      </c>
      <c r="B68" s="22" t="s">
        <v>136</v>
      </c>
      <c r="C68" s="22" t="s">
        <v>137</v>
      </c>
      <c r="D68" s="22" t="s">
        <v>102</v>
      </c>
      <c r="E68" s="22" t="s">
        <v>103</v>
      </c>
      <c r="F68" s="9">
        <f>16</f>
      </c>
      <c r="G68" s="10">
        <f>71.8</f>
      </c>
      <c r="H68" s="10">
        <f>0.4</f>
      </c>
      <c r="I68" s="11">
        <f>15.81</f>
      </c>
      <c r="J68" s="11">
        <f>3173.06</f>
      </c>
      <c r="K68" s="10">
        <f>22.9</f>
      </c>
      <c r="L68" s="10">
        <f>0.3</f>
      </c>
      <c r="M68" s="21">
        <f>9952000000</f>
      </c>
      <c r="N68" s="21">
        <f>701233000000</f>
      </c>
    </row>
    <row r="69">
      <c r="A69" s="22" t="s">
        <v>53</v>
      </c>
      <c r="B69" s="22" t="s">
        <v>136</v>
      </c>
      <c r="C69" s="22" t="s">
        <v>137</v>
      </c>
      <c r="D69" s="22" t="s">
        <v>104</v>
      </c>
      <c r="E69" s="22" t="s">
        <v>105</v>
      </c>
      <c r="F69" s="9">
        <f>2</f>
      </c>
      <c r="G69" s="10">
        <f>11.6</f>
      </c>
      <c r="H69" s="10">
        <f>1</f>
      </c>
      <c r="I69" s="11">
        <f>122.09</f>
      </c>
      <c r="J69" s="11">
        <f>1383.27</f>
      </c>
      <c r="K69" s="10">
        <f>11.9</f>
      </c>
      <c r="L69" s="10">
        <f>1</f>
      </c>
      <c r="M69" s="21">
        <f>2560000000</f>
      </c>
      <c r="N69" s="21">
        <f>29797000000</f>
      </c>
    </row>
    <row r="70">
      <c r="A70" s="22" t="s">
        <v>53</v>
      </c>
      <c r="B70" s="22" t="s">
        <v>136</v>
      </c>
      <c r="C70" s="22" t="s">
        <v>137</v>
      </c>
      <c r="D70" s="22" t="s">
        <v>106</v>
      </c>
      <c r="E70" s="22" t="s">
        <v>107</v>
      </c>
      <c r="F70" s="9">
        <f>22</f>
      </c>
      <c r="G70" s="10">
        <f>21.3</f>
      </c>
      <c r="H70" s="10">
        <f>0.4</f>
      </c>
      <c r="I70" s="11">
        <f>48.34</f>
      </c>
      <c r="J70" s="11">
        <f>2414.14</f>
      </c>
      <c r="K70" s="10">
        <f>36.1</f>
      </c>
      <c r="L70" s="10">
        <f>0.8</f>
      </c>
      <c r="M70" s="21">
        <f>5143000000</f>
      </c>
      <c r="N70" s="21">
        <f>220131000000</f>
      </c>
    </row>
    <row r="71">
      <c r="A71" s="22" t="s">
        <v>53</v>
      </c>
      <c r="B71" s="22" t="s">
        <v>136</v>
      </c>
      <c r="C71" s="22" t="s">
        <v>137</v>
      </c>
      <c r="D71" s="22" t="s">
        <v>108</v>
      </c>
      <c r="E71" s="22" t="s">
        <v>109</v>
      </c>
      <c r="F71" s="9">
        <f>2</f>
      </c>
      <c r="G71" s="10">
        <f>12.1</f>
      </c>
      <c r="H71" s="10">
        <f>0.3</f>
      </c>
      <c r="I71" s="11">
        <f>246.83</f>
      </c>
      <c r="J71" s="11">
        <f>9142.75</f>
      </c>
      <c r="K71" s="10">
        <f>14.3</f>
      </c>
      <c r="L71" s="10">
        <f>0.4</f>
      </c>
      <c r="M71" s="21">
        <f>3343000000</f>
      </c>
      <c r="N71" s="21">
        <f>135698000000</f>
      </c>
    </row>
    <row r="72">
      <c r="A72" s="22" t="s">
        <v>53</v>
      </c>
      <c r="B72" s="22" t="s">
        <v>136</v>
      </c>
      <c r="C72" s="22" t="s">
        <v>137</v>
      </c>
      <c r="D72" s="22" t="s">
        <v>110</v>
      </c>
      <c r="E72" s="22" t="s">
        <v>111</v>
      </c>
      <c r="F72" s="9">
        <f>10</f>
      </c>
      <c r="G72" s="10">
        <f>"－"</f>
      </c>
      <c r="H72" s="10">
        <f>0.6</f>
      </c>
      <c r="I72" s="11">
        <f>-17.59</f>
      </c>
      <c r="J72" s="11">
        <f>3022.52</f>
      </c>
      <c r="K72" s="10">
        <f>"－"</f>
      </c>
      <c r="L72" s="10">
        <f>0.6</f>
      </c>
      <c r="M72" s="21">
        <f>-747000000</f>
      </c>
      <c r="N72" s="21">
        <f>190524000000</f>
      </c>
    </row>
    <row r="73">
      <c r="A73" s="22" t="s">
        <v>53</v>
      </c>
      <c r="B73" s="22" t="s">
        <v>136</v>
      </c>
      <c r="C73" s="22" t="s">
        <v>137</v>
      </c>
      <c r="D73" s="22" t="s">
        <v>112</v>
      </c>
      <c r="E73" s="22" t="s">
        <v>113</v>
      </c>
      <c r="F73" s="9">
        <f>4</f>
      </c>
      <c r="G73" s="10">
        <f>"－"</f>
      </c>
      <c r="H73" s="10">
        <f>0.6</f>
      </c>
      <c r="I73" s="11">
        <f>-15.94</f>
      </c>
      <c r="J73" s="11">
        <f>4060.02</f>
      </c>
      <c r="K73" s="10">
        <f>70.2</f>
      </c>
      <c r="L73" s="10">
        <f>0.5</f>
      </c>
      <c r="M73" s="21">
        <f>397000000</f>
      </c>
      <c r="N73" s="21">
        <f>60748000000</f>
      </c>
    </row>
    <row r="74">
      <c r="A74" s="22" t="s">
        <v>53</v>
      </c>
      <c r="B74" s="22" t="s">
        <v>136</v>
      </c>
      <c r="C74" s="22" t="s">
        <v>137</v>
      </c>
      <c r="D74" s="22" t="s">
        <v>114</v>
      </c>
      <c r="E74" s="22" t="s">
        <v>115</v>
      </c>
      <c r="F74" s="9">
        <f>2</f>
      </c>
      <c r="G74" s="10">
        <f>"－"</f>
      </c>
      <c r="H74" s="10">
        <f>9.6</f>
      </c>
      <c r="I74" s="11">
        <f>-1710.06</f>
      </c>
      <c r="J74" s="11">
        <f>164.26</f>
      </c>
      <c r="K74" s="10">
        <f>"－"</f>
      </c>
      <c r="L74" s="10">
        <f>1.3</f>
      </c>
      <c r="M74" s="21">
        <f>-8338000000</f>
      </c>
      <c r="N74" s="21">
        <f>15562000000</f>
      </c>
    </row>
    <row r="75">
      <c r="A75" s="22" t="s">
        <v>53</v>
      </c>
      <c r="B75" s="22" t="s">
        <v>136</v>
      </c>
      <c r="C75" s="22" t="s">
        <v>137</v>
      </c>
      <c r="D75" s="22" t="s">
        <v>116</v>
      </c>
      <c r="E75" s="22" t="s">
        <v>117</v>
      </c>
      <c r="F75" s="9">
        <f>10</f>
      </c>
      <c r="G75" s="10">
        <f>48.4</f>
      </c>
      <c r="H75" s="10">
        <f>0.4</f>
      </c>
      <c r="I75" s="11">
        <f>28.03</f>
      </c>
      <c r="J75" s="11">
        <f>3336.15</f>
      </c>
      <c r="K75" s="10">
        <f>38.4</f>
      </c>
      <c r="L75" s="10">
        <f>0.4</f>
      </c>
      <c r="M75" s="21">
        <f>1157000000</f>
      </c>
      <c r="N75" s="21">
        <f>100114000000</f>
      </c>
    </row>
    <row r="76">
      <c r="A76" s="22" t="s">
        <v>53</v>
      </c>
      <c r="B76" s="22" t="s">
        <v>136</v>
      </c>
      <c r="C76" s="22" t="s">
        <v>137</v>
      </c>
      <c r="D76" s="22" t="s">
        <v>118</v>
      </c>
      <c r="E76" s="22" t="s">
        <v>119</v>
      </c>
      <c r="F76" s="9">
        <f>29</f>
      </c>
      <c r="G76" s="10">
        <f>34.7</f>
      </c>
      <c r="H76" s="10">
        <f>1.7</f>
      </c>
      <c r="I76" s="11">
        <f>23.27</f>
      </c>
      <c r="J76" s="11">
        <f>480.4</f>
      </c>
      <c r="K76" s="10">
        <f>65.7</f>
      </c>
      <c r="L76" s="10">
        <f>2.1</f>
      </c>
      <c r="M76" s="21">
        <f>3932000000</f>
      </c>
      <c r="N76" s="21">
        <f>125455000000</f>
      </c>
    </row>
    <row r="77">
      <c r="A77" s="22" t="s">
        <v>53</v>
      </c>
      <c r="B77" s="22" t="s">
        <v>136</v>
      </c>
      <c r="C77" s="22" t="s">
        <v>137</v>
      </c>
      <c r="D77" s="22" t="s">
        <v>120</v>
      </c>
      <c r="E77" s="22" t="s">
        <v>121</v>
      </c>
      <c r="F77" s="9">
        <f>44</f>
      </c>
      <c r="G77" s="10">
        <f>15.5</f>
      </c>
      <c r="H77" s="10">
        <f>0.6</f>
      </c>
      <c r="I77" s="11">
        <f>82.54</f>
      </c>
      <c r="J77" s="11">
        <f>2179.96</f>
      </c>
      <c r="K77" s="10">
        <f>16.9</f>
      </c>
      <c r="L77" s="10">
        <f>0.8</f>
      </c>
      <c r="M77" s="21">
        <f>35097000000</f>
      </c>
      <c r="N77" s="21">
        <f>735475000000</f>
      </c>
    </row>
    <row r="78">
      <c r="A78" s="22" t="s">
        <v>53</v>
      </c>
      <c r="B78" s="22" t="s">
        <v>136</v>
      </c>
      <c r="C78" s="22" t="s">
        <v>137</v>
      </c>
      <c r="D78" s="22" t="s">
        <v>122</v>
      </c>
      <c r="E78" s="22" t="s">
        <v>123</v>
      </c>
      <c r="F78" s="9">
        <f>36</f>
      </c>
      <c r="G78" s="10">
        <f>"－"</f>
      </c>
      <c r="H78" s="10">
        <f>1.5</f>
      </c>
      <c r="I78" s="11">
        <f>-3.47</f>
      </c>
      <c r="J78" s="11">
        <f>620.65</f>
      </c>
      <c r="K78" s="10">
        <f>"－"</f>
      </c>
      <c r="L78" s="10">
        <f>1.8</f>
      </c>
      <c r="M78" s="21">
        <f>-3907000000</f>
      </c>
      <c r="N78" s="21">
        <f>276241129000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15.5</f>
      </c>
      <c r="H80" s="10">
        <f>0.8</f>
      </c>
      <c r="I80" s="11">
        <f>8.78</f>
      </c>
      <c r="J80" s="11">
        <f>162.02</f>
      </c>
      <c r="K80" s="10">
        <f>"－"</f>
      </c>
      <c r="L80" s="10">
        <f>1.1</f>
      </c>
      <c r="M80" s="21">
        <f>-591000000</f>
      </c>
      <c r="N80" s="21">
        <f>22715000000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2</f>
      </c>
      <c r="G82" s="10">
        <f>38</f>
      </c>
      <c r="H82" s="10">
        <f>0.4</f>
      </c>
      <c r="I82" s="11">
        <f>5.19</f>
      </c>
      <c r="J82" s="11">
        <f>485.9</f>
      </c>
      <c r="K82" s="10">
        <f>39.2</f>
      </c>
      <c r="L82" s="10">
        <f>0.4</f>
      </c>
      <c r="M82" s="21">
        <f>1253000000</f>
      </c>
      <c r="N82" s="21">
        <f>115384000000</f>
      </c>
    </row>
    <row r="83">
      <c r="A83" s="22" t="s">
        <v>53</v>
      </c>
      <c r="B83" s="22" t="s">
        <v>136</v>
      </c>
      <c r="C83" s="22" t="s">
        <v>137</v>
      </c>
      <c r="D83" s="22" t="s">
        <v>132</v>
      </c>
      <c r="E83" s="22" t="s">
        <v>133</v>
      </c>
      <c r="F83" s="9">
        <f>16</f>
      </c>
      <c r="G83" s="10">
        <f>8.8</f>
      </c>
      <c r="H83" s="10">
        <f>0.8</f>
      </c>
      <c r="I83" s="11">
        <f>90.72</f>
      </c>
      <c r="J83" s="11">
        <f>998.85</f>
      </c>
      <c r="K83" s="10">
        <f>11.3</f>
      </c>
      <c r="L83" s="10">
        <f>1.1</f>
      </c>
      <c r="M83" s="21">
        <f>11964302000</f>
      </c>
      <c r="N83" s="21">
        <f>125868428000</f>
      </c>
    </row>
    <row r="84">
      <c r="A84" s="22" t="s">
        <v>53</v>
      </c>
      <c r="B84" s="22" t="s">
        <v>136</v>
      </c>
      <c r="C84" s="22" t="s">
        <v>137</v>
      </c>
      <c r="D84" s="22" t="s">
        <v>134</v>
      </c>
      <c r="E84" s="22" t="s">
        <v>135</v>
      </c>
      <c r="F84" s="9">
        <f>43</f>
      </c>
      <c r="G84" s="10">
        <f>"－"</f>
      </c>
      <c r="H84" s="10">
        <f>1.2</f>
      </c>
      <c r="I84" s="11">
        <f>-38.98</f>
      </c>
      <c r="J84" s="11">
        <f>953.69</f>
      </c>
      <c r="K84" s="10">
        <f>"－"</f>
      </c>
      <c r="L84" s="10">
        <f>1.6</f>
      </c>
      <c r="M84" s="21">
        <f>-31724000000</f>
      </c>
      <c r="N84" s="21">
        <f>336087000000</f>
      </c>
    </row>
    <row r="85">
      <c r="A85" s="22" t="s">
        <v>53</v>
      </c>
      <c r="B85" s="22" t="s">
        <v>138</v>
      </c>
      <c r="C85" s="22" t="s">
        <v>139</v>
      </c>
      <c r="D85" s="22" t="s">
        <v>56</v>
      </c>
      <c r="E85" s="22" t="s">
        <v>57</v>
      </c>
      <c r="F85" s="9">
        <f>421</f>
      </c>
      <c r="G85" s="10">
        <f>74.3</f>
      </c>
      <c r="H85" s="10">
        <f>4.2</f>
      </c>
      <c r="I85" s="11">
        <f>20.25</f>
      </c>
      <c r="J85" s="11">
        <f>360.26</f>
      </c>
      <c r="K85" s="10">
        <f>"＊"</f>
      </c>
      <c r="L85" s="10">
        <f>4.5</f>
      </c>
      <c r="M85" s="21">
        <f>611668965</f>
      </c>
      <c r="N85" s="21">
        <f>1532351095972</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413</f>
      </c>
      <c r="G89" s="10">
        <f>74</f>
      </c>
      <c r="H89" s="10">
        <f>4.2</f>
      </c>
      <c r="I89" s="11">
        <f>20.39</f>
      </c>
      <c r="J89" s="11">
        <f>357.74</f>
      </c>
      <c r="K89" s="10">
        <f>"＊"</f>
      </c>
      <c r="L89" s="10">
        <f>4.6</f>
      </c>
      <c r="M89" s="21">
        <f>3155668965</f>
      </c>
      <c r="N89" s="21">
        <f>1449963095972</f>
      </c>
    </row>
    <row r="90">
      <c r="A90" s="22" t="s">
        <v>53</v>
      </c>
      <c r="B90" s="22" t="s">
        <v>138</v>
      </c>
      <c r="C90" s="22" t="s">
        <v>139</v>
      </c>
      <c r="D90" s="22" t="s">
        <v>66</v>
      </c>
      <c r="E90" s="22" t="s">
        <v>67</v>
      </c>
      <c r="F90" s="9">
        <f>52</f>
      </c>
      <c r="G90" s="10">
        <f>531.9</f>
      </c>
      <c r="H90" s="10">
        <f>3.8</f>
      </c>
      <c r="I90" s="11">
        <f>2.1</f>
      </c>
      <c r="J90" s="11">
        <f>291.05</f>
      </c>
      <c r="K90" s="10">
        <f>"－"</f>
      </c>
      <c r="L90" s="10">
        <f>3</f>
      </c>
      <c r="M90" s="21">
        <f>-38822205515</f>
      </c>
      <c r="N90" s="21">
        <f>380803533000</f>
      </c>
    </row>
    <row r="91">
      <c r="A91" s="22" t="s">
        <v>53</v>
      </c>
      <c r="B91" s="22" t="s">
        <v>138</v>
      </c>
      <c r="C91" s="22" t="s">
        <v>139</v>
      </c>
      <c r="D91" s="22" t="s">
        <v>68</v>
      </c>
      <c r="E91" s="22" t="s">
        <v>69</v>
      </c>
      <c r="F91" s="9">
        <f>361</f>
      </c>
      <c r="G91" s="10">
        <f>68</f>
      </c>
      <c r="H91" s="10">
        <f>4.3</f>
      </c>
      <c r="I91" s="11">
        <f>23.02</f>
      </c>
      <c r="J91" s="11">
        <f>367.35</f>
      </c>
      <c r="K91" s="10">
        <f>130.5</f>
      </c>
      <c r="L91" s="10">
        <f>5.1</f>
      </c>
      <c r="M91" s="21">
        <f>41977874480</f>
      </c>
      <c r="N91" s="21">
        <f>1069159562972</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5</f>
      </c>
      <c r="G94" s="10">
        <f>27.7</f>
      </c>
      <c r="H94" s="10">
        <f>1.8</f>
      </c>
      <c r="I94" s="11">
        <f>25.85</f>
      </c>
      <c r="J94" s="11">
        <f>390.93</f>
      </c>
      <c r="K94" s="10">
        <f>48</f>
      </c>
      <c r="L94" s="10">
        <f>2.9</f>
      </c>
      <c r="M94" s="21">
        <f>998000000</f>
      </c>
      <c r="N94" s="21">
        <f>16478000000</f>
      </c>
    </row>
    <row r="95">
      <c r="A95" s="22" t="s">
        <v>53</v>
      </c>
      <c r="B95" s="22" t="s">
        <v>138</v>
      </c>
      <c r="C95" s="22" t="s">
        <v>139</v>
      </c>
      <c r="D95" s="22" t="s">
        <v>76</v>
      </c>
      <c r="E95" s="22" t="s">
        <v>77</v>
      </c>
      <c r="F95" s="9">
        <f>2</f>
      </c>
      <c r="G95" s="10">
        <f>37.8</f>
      </c>
      <c r="H95" s="10">
        <f>9.5</f>
      </c>
      <c r="I95" s="11">
        <f>39.54</f>
      </c>
      <c r="J95" s="11">
        <f>157.09</f>
      </c>
      <c r="K95" s="10">
        <f>121.2</f>
      </c>
      <c r="L95" s="10">
        <f>6.7</f>
      </c>
      <c r="M95" s="21">
        <f>137000000</f>
      </c>
      <c r="N95" s="21">
        <f>2466000000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4</f>
      </c>
      <c r="G98" s="10">
        <f>16</f>
      </c>
      <c r="H98" s="10">
        <f>3.7</f>
      </c>
      <c r="I98" s="11">
        <f>133.72</f>
      </c>
      <c r="J98" s="11">
        <f>574.91</f>
      </c>
      <c r="K98" s="10">
        <f>17.8</f>
      </c>
      <c r="L98" s="10">
        <f>3.8</f>
      </c>
      <c r="M98" s="21">
        <f>5021000000</f>
      </c>
      <c r="N98" s="21">
        <f>23311000000</f>
      </c>
    </row>
    <row r="99">
      <c r="A99" s="22" t="s">
        <v>53</v>
      </c>
      <c r="B99" s="22" t="s">
        <v>138</v>
      </c>
      <c r="C99" s="22" t="s">
        <v>139</v>
      </c>
      <c r="D99" s="22" t="s">
        <v>84</v>
      </c>
      <c r="E99" s="22" t="s">
        <v>85</v>
      </c>
      <c r="F99" s="9">
        <f>25</f>
      </c>
      <c r="G99" s="10">
        <f>"－"</f>
      </c>
      <c r="H99" s="10">
        <f>3.7</f>
      </c>
      <c r="I99" s="11">
        <f>-39.45</f>
      </c>
      <c r="J99" s="11">
        <f>173.95</f>
      </c>
      <c r="K99" s="10">
        <f>"－"</f>
      </c>
      <c r="L99" s="10">
        <f>3.1</f>
      </c>
      <c r="M99" s="21">
        <f>-41654054000</f>
      </c>
      <c r="N99" s="21">
        <f>197303533000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2</f>
      </c>
      <c r="G104" s="10">
        <f>90.9</f>
      </c>
      <c r="H104" s="10">
        <f>4</f>
      </c>
      <c r="I104" s="11">
        <f>24.08</f>
      </c>
      <c r="J104" s="11">
        <f>548.99</f>
      </c>
      <c r="K104" s="10">
        <f>98.4</f>
      </c>
      <c r="L104" s="10">
        <f>4.2</f>
      </c>
      <c r="M104" s="21">
        <f>307000000</f>
      </c>
      <c r="N104" s="21">
        <f>7146000000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4</f>
      </c>
      <c r="I106" s="11">
        <f>-37.77</f>
      </c>
      <c r="J106" s="11">
        <f>273.81</f>
      </c>
      <c r="K106" s="10">
        <f>"－"</f>
      </c>
      <c r="L106" s="10">
        <f>3.3</f>
      </c>
      <c r="M106" s="21">
        <f>-1215333333</f>
      </c>
      <c r="N106" s="21">
        <f>13317000000</f>
      </c>
    </row>
    <row r="107">
      <c r="A107" s="22" t="s">
        <v>53</v>
      </c>
      <c r="B107" s="22" t="s">
        <v>138</v>
      </c>
      <c r="C107" s="22" t="s">
        <v>139</v>
      </c>
      <c r="D107" s="22" t="s">
        <v>100</v>
      </c>
      <c r="E107" s="22" t="s">
        <v>101</v>
      </c>
      <c r="F107" s="9">
        <f>7</f>
      </c>
      <c r="G107" s="10">
        <f>72.5</f>
      </c>
      <c r="H107" s="10">
        <f>7.3</f>
      </c>
      <c r="I107" s="11">
        <f>30.76</f>
      </c>
      <c r="J107" s="11">
        <f>307.47</f>
      </c>
      <c r="K107" s="10">
        <f>123.8</f>
      </c>
      <c r="L107" s="10">
        <f>6.6</f>
      </c>
      <c r="M107" s="21">
        <f>923000000</f>
      </c>
      <c r="N107" s="21">
        <f>17257000000</f>
      </c>
    </row>
    <row r="108">
      <c r="A108" s="22" t="s">
        <v>53</v>
      </c>
      <c r="B108" s="22" t="s">
        <v>138</v>
      </c>
      <c r="C108" s="22" t="s">
        <v>139</v>
      </c>
      <c r="D108" s="22" t="s">
        <v>102</v>
      </c>
      <c r="E108" s="22" t="s">
        <v>103</v>
      </c>
      <c r="F108" s="9">
        <f>2</f>
      </c>
      <c r="G108" s="10">
        <f>9.7</f>
      </c>
      <c r="H108" s="10">
        <f>1.6</f>
      </c>
      <c r="I108" s="11">
        <f>97.48</f>
      </c>
      <c r="J108" s="11">
        <f>596.82</f>
      </c>
      <c r="K108" s="10">
        <f>9.8</f>
      </c>
      <c r="L108" s="10">
        <f>1.6</f>
      </c>
      <c r="M108" s="21">
        <f>965000000</f>
      </c>
      <c r="N108" s="21">
        <f>5816000000</f>
      </c>
    </row>
    <row r="109">
      <c r="A109" s="22" t="s">
        <v>53</v>
      </c>
      <c r="B109" s="22" t="s">
        <v>138</v>
      </c>
      <c r="C109" s="22" t="s">
        <v>139</v>
      </c>
      <c r="D109" s="22" t="s">
        <v>104</v>
      </c>
      <c r="E109" s="22" t="s">
        <v>105</v>
      </c>
      <c r="F109" s="9">
        <f>2</f>
      </c>
      <c r="G109" s="10">
        <f>28.1</f>
      </c>
      <c r="H109" s="10">
        <f>1.8</f>
      </c>
      <c r="I109" s="11">
        <f>14.23</f>
      </c>
      <c r="J109" s="11">
        <f>220.64</f>
      </c>
      <c r="K109" s="10">
        <f>122.8</f>
      </c>
      <c r="L109" s="10">
        <f>1.8</f>
      </c>
      <c r="M109" s="21">
        <f>736000000</f>
      </c>
      <c r="N109" s="21">
        <f>50364000000</f>
      </c>
    </row>
    <row r="110">
      <c r="A110" s="22" t="s">
        <v>53</v>
      </c>
      <c r="B110" s="22" t="s">
        <v>138</v>
      </c>
      <c r="C110" s="22" t="s">
        <v>139</v>
      </c>
      <c r="D110" s="22" t="s">
        <v>106</v>
      </c>
      <c r="E110" s="22" t="s">
        <v>107</v>
      </c>
      <c r="F110" s="9">
        <f>5</f>
      </c>
      <c r="G110" s="10">
        <f>42</f>
      </c>
      <c r="H110" s="10">
        <f>1.8</f>
      </c>
      <c r="I110" s="11">
        <f>21.55</f>
      </c>
      <c r="J110" s="11">
        <f>493.15</f>
      </c>
      <c r="K110" s="10">
        <f>"－"</f>
      </c>
      <c r="L110" s="10">
        <f>1.9</f>
      </c>
      <c r="M110" s="21">
        <f>-4041818182</f>
      </c>
      <c r="N110" s="21">
        <f>63823000000</f>
      </c>
    </row>
    <row r="111">
      <c r="A111" s="22" t="s">
        <v>53</v>
      </c>
      <c r="B111" s="22" t="s">
        <v>138</v>
      </c>
      <c r="C111" s="22" t="s">
        <v>139</v>
      </c>
      <c r="D111" s="22" t="s">
        <v>108</v>
      </c>
      <c r="E111" s="22" t="s">
        <v>109</v>
      </c>
      <c r="F111" s="9">
        <f>1</f>
      </c>
      <c r="G111" s="10">
        <f>87.4</f>
      </c>
      <c r="H111" s="10">
        <f>3.3</f>
      </c>
      <c r="I111" s="11">
        <f>18.33</f>
      </c>
      <c r="J111" s="11">
        <f>488.57</f>
      </c>
      <c r="K111" s="10">
        <f>87.4</f>
      </c>
      <c r="L111" s="10">
        <f>3.3</f>
      </c>
      <c r="M111" s="21">
        <f>529000000</f>
      </c>
      <c r="N111" s="21">
        <f>14097000000</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30.3</f>
      </c>
      <c r="H115" s="10">
        <f>5.4</f>
      </c>
      <c r="I115" s="11">
        <f>27.58</f>
      </c>
      <c r="J115" s="11">
        <f>155.42</f>
      </c>
      <c r="K115" s="10">
        <f>30.3</f>
      </c>
      <c r="L115" s="10">
        <f>5.4</f>
      </c>
      <c r="M115" s="21">
        <f>283000000</f>
      </c>
      <c r="N115" s="21">
        <f>1595000000</f>
      </c>
    </row>
    <row r="116">
      <c r="A116" s="22" t="s">
        <v>53</v>
      </c>
      <c r="B116" s="22" t="s">
        <v>138</v>
      </c>
      <c r="C116" s="22" t="s">
        <v>139</v>
      </c>
      <c r="D116" s="22" t="s">
        <v>118</v>
      </c>
      <c r="E116" s="22" t="s">
        <v>119</v>
      </c>
      <c r="F116" s="9">
        <f>174</f>
      </c>
      <c r="G116" s="10">
        <f>67.9</f>
      </c>
      <c r="H116" s="10">
        <f>5.1</f>
      </c>
      <c r="I116" s="11">
        <f>24.89</f>
      </c>
      <c r="J116" s="11">
        <f>330.3</f>
      </c>
      <c r="K116" s="10">
        <f>153.8</f>
      </c>
      <c r="L116" s="10">
        <f>6.4</f>
      </c>
      <c r="M116" s="21">
        <f>23572061250</f>
      </c>
      <c r="N116" s="21">
        <f>565249394972</f>
      </c>
    </row>
    <row r="117">
      <c r="A117" s="22" t="s">
        <v>53</v>
      </c>
      <c r="B117" s="22" t="s">
        <v>138</v>
      </c>
      <c r="C117" s="22" t="s">
        <v>139</v>
      </c>
      <c r="D117" s="22" t="s">
        <v>120</v>
      </c>
      <c r="E117" s="22" t="s">
        <v>121</v>
      </c>
      <c r="F117" s="9">
        <f>6</f>
      </c>
      <c r="G117" s="10">
        <f>25.7</f>
      </c>
      <c r="H117" s="10">
        <f>3.2</f>
      </c>
      <c r="I117" s="11">
        <f>53.03</f>
      </c>
      <c r="J117" s="11">
        <f>425.49</f>
      </c>
      <c r="K117" s="10">
        <f>36.6</f>
      </c>
      <c r="L117" s="10">
        <f>4.8</f>
      </c>
      <c r="M117" s="21">
        <f>2570000000</f>
      </c>
      <c r="N117" s="21">
        <f>19605000000</f>
      </c>
    </row>
    <row r="118">
      <c r="A118" s="22" t="s">
        <v>53</v>
      </c>
      <c r="B118" s="22" t="s">
        <v>138</v>
      </c>
      <c r="C118" s="22" t="s">
        <v>139</v>
      </c>
      <c r="D118" s="22" t="s">
        <v>122</v>
      </c>
      <c r="E118" s="22" t="s">
        <v>123</v>
      </c>
      <c r="F118" s="9">
        <f>24</f>
      </c>
      <c r="G118" s="10">
        <f>"－"</f>
      </c>
      <c r="H118" s="10">
        <f>3.9</f>
      </c>
      <c r="I118" s="11">
        <f>-9.66</f>
      </c>
      <c r="J118" s="11">
        <f>342.96</f>
      </c>
      <c r="K118" s="10">
        <f>"－"</f>
      </c>
      <c r="L118" s="10">
        <f>3.6</f>
      </c>
      <c r="M118" s="21">
        <f>-1838860000</f>
      </c>
      <c r="N118" s="21">
        <f>43313463000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9.8</f>
      </c>
      <c r="I120" s="11">
        <f>-10.48</f>
      </c>
      <c r="J120" s="11">
        <f>212.45</f>
      </c>
      <c r="K120" s="10">
        <f>"－"</f>
      </c>
      <c r="L120" s="10">
        <f>9.8</f>
      </c>
      <c r="M120" s="21">
        <f>-495000000</f>
      </c>
      <c r="N120" s="21">
        <f>10037000000</f>
      </c>
    </row>
    <row r="121">
      <c r="A121" s="22" t="s">
        <v>53</v>
      </c>
      <c r="B121" s="22" t="s">
        <v>138</v>
      </c>
      <c r="C121" s="22" t="s">
        <v>139</v>
      </c>
      <c r="D121" s="22" t="s">
        <v>128</v>
      </c>
      <c r="E121" s="22" t="s">
        <v>129</v>
      </c>
      <c r="F121" s="9">
        <f>5</f>
      </c>
      <c r="G121" s="10">
        <f>"－"</f>
      </c>
      <c r="H121" s="10">
        <f>1.6</f>
      </c>
      <c r="I121" s="11">
        <f>-0.23</f>
      </c>
      <c r="J121" s="11">
        <f>675.76</f>
      </c>
      <c r="K121" s="10">
        <f>"－"</f>
      </c>
      <c r="L121" s="10">
        <f>1.4</f>
      </c>
      <c r="M121" s="21">
        <f>-2563000000</f>
      </c>
      <c r="N121" s="21">
        <f>70929000000</f>
      </c>
    </row>
    <row r="122">
      <c r="A122" s="22" t="s">
        <v>53</v>
      </c>
      <c r="B122" s="22" t="s">
        <v>138</v>
      </c>
      <c r="C122" s="22" t="s">
        <v>139</v>
      </c>
      <c r="D122" s="22" t="s">
        <v>130</v>
      </c>
      <c r="E122" s="22" t="s">
        <v>131</v>
      </c>
      <c r="F122" s="9">
        <f>2</f>
      </c>
      <c r="G122" s="10">
        <f>24.2</f>
      </c>
      <c r="H122" s="10">
        <f>8.6</f>
      </c>
      <c r="I122" s="11">
        <f>58.36</f>
      </c>
      <c r="J122" s="11">
        <f>165.09</f>
      </c>
      <c r="K122" s="10">
        <f>25.6</f>
      </c>
      <c r="L122" s="10">
        <f>9.2</f>
      </c>
      <c r="M122" s="21">
        <f>514000000</f>
      </c>
      <c r="N122" s="21">
        <f>1422000000</f>
      </c>
    </row>
    <row r="123">
      <c r="A123" s="22" t="s">
        <v>53</v>
      </c>
      <c r="B123" s="22" t="s">
        <v>138</v>
      </c>
      <c r="C123" s="22" t="s">
        <v>139</v>
      </c>
      <c r="D123" s="22" t="s">
        <v>132</v>
      </c>
      <c r="E123" s="22" t="s">
        <v>133</v>
      </c>
      <c r="F123" s="9">
        <f>16</f>
      </c>
      <c r="G123" s="10">
        <f>25</f>
      </c>
      <c r="H123" s="10">
        <f>2.3</f>
      </c>
      <c r="I123" s="11">
        <f>55.34</f>
      </c>
      <c r="J123" s="11">
        <f>593.74</f>
      </c>
      <c r="K123" s="10">
        <f>"－"</f>
      </c>
      <c r="L123" s="10">
        <f>2.2</f>
      </c>
      <c r="M123" s="21">
        <f>-1346000000</f>
      </c>
      <c r="N123" s="21">
        <f>89871000000</f>
      </c>
    </row>
    <row r="124">
      <c r="A124" s="22" t="s">
        <v>53</v>
      </c>
      <c r="B124" s="22" t="s">
        <v>138</v>
      </c>
      <c r="C124" s="22" t="s">
        <v>139</v>
      </c>
      <c r="D124" s="22" t="s">
        <v>134</v>
      </c>
      <c r="E124" s="22" t="s">
        <v>135</v>
      </c>
      <c r="F124" s="9">
        <f>134</f>
      </c>
      <c r="G124" s="10">
        <f>71.4</f>
      </c>
      <c r="H124" s="10">
        <f>3.9</f>
      </c>
      <c r="I124" s="11">
        <f>21.15</f>
      </c>
      <c r="J124" s="11">
        <f>389.98</f>
      </c>
      <c r="K124" s="10">
        <f>75.7</f>
      </c>
      <c r="L124" s="10">
        <f>4.1</f>
      </c>
      <c r="M124" s="21">
        <f>17210673230</f>
      </c>
      <c r="N124" s="21">
        <f>318950705000</f>
      </c>
    </row>
    <row r="125">
      <c r="A125" s="22" t="s">
        <v>53</v>
      </c>
      <c r="B125" s="22" t="s">
        <v>140</v>
      </c>
      <c r="C125" s="22" t="s">
        <v>140</v>
      </c>
      <c r="D125" s="22" t="s">
        <v>56</v>
      </c>
      <c r="E125" s="22" t="s">
        <v>57</v>
      </c>
      <c r="F125" s="9">
        <f>684</f>
      </c>
      <c r="G125" s="10">
        <f>20.2</f>
      </c>
      <c r="H125" s="10">
        <f>0.9</f>
      </c>
      <c r="I125" s="11">
        <f>73.13</f>
      </c>
      <c r="J125" s="11">
        <f>1615.28</f>
      </c>
      <c r="K125" s="10">
        <f>26</f>
      </c>
      <c r="L125" s="10">
        <f>1.3</f>
      </c>
      <c r="M125" s="21">
        <f>363713989000</f>
      </c>
      <c r="N125" s="21">
        <f>7100847364217</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668</f>
      </c>
      <c r="G129" s="10">
        <f>20.2</f>
      </c>
      <c r="H129" s="10">
        <f>0.9</f>
      </c>
      <c r="I129" s="11">
        <f>73.73</f>
      </c>
      <c r="J129" s="11">
        <f>1633.97</f>
      </c>
      <c r="K129" s="10">
        <f>26.1</f>
      </c>
      <c r="L129" s="10">
        <f>1.3</f>
      </c>
      <c r="M129" s="21">
        <f>351556989000</f>
      </c>
      <c r="N129" s="21">
        <f>6885939364217</f>
      </c>
    </row>
    <row r="130">
      <c r="A130" s="22" t="s">
        <v>53</v>
      </c>
      <c r="B130" s="22" t="s">
        <v>140</v>
      </c>
      <c r="C130" s="22" t="s">
        <v>140</v>
      </c>
      <c r="D130" s="22" t="s">
        <v>66</v>
      </c>
      <c r="E130" s="22" t="s">
        <v>67</v>
      </c>
      <c r="F130" s="9">
        <f>236</f>
      </c>
      <c r="G130" s="10">
        <f>20.7</f>
      </c>
      <c r="H130" s="10">
        <f>0.9</f>
      </c>
      <c r="I130" s="11">
        <f>88.93</f>
      </c>
      <c r="J130" s="11">
        <f>2129.68</f>
      </c>
      <c r="K130" s="10">
        <f>27.2</f>
      </c>
      <c r="L130" s="10">
        <f>1.1</f>
      </c>
      <c r="M130" s="21">
        <f>123238015000</f>
      </c>
      <c r="N130" s="21">
        <f>3132963314000</f>
      </c>
    </row>
    <row r="131">
      <c r="A131" s="22" t="s">
        <v>53</v>
      </c>
      <c r="B131" s="22" t="s">
        <v>140</v>
      </c>
      <c r="C131" s="22" t="s">
        <v>140</v>
      </c>
      <c r="D131" s="22" t="s">
        <v>68</v>
      </c>
      <c r="E131" s="22" t="s">
        <v>69</v>
      </c>
      <c r="F131" s="9">
        <f>432</f>
      </c>
      <c r="G131" s="10">
        <f>19.9</f>
      </c>
      <c r="H131" s="10">
        <f>1</f>
      </c>
      <c r="I131" s="11">
        <f>65.42</f>
      </c>
      <c r="J131" s="11">
        <f>1363.16</f>
      </c>
      <c r="K131" s="10">
        <f>25.5</f>
      </c>
      <c r="L131" s="10">
        <f>1.6</f>
      </c>
      <c r="M131" s="21">
        <f>228318974000</f>
      </c>
      <c r="N131" s="21">
        <f>3752976050217</f>
      </c>
    </row>
    <row r="132">
      <c r="A132" s="22" t="s">
        <v>53</v>
      </c>
      <c r="B132" s="22" t="s">
        <v>140</v>
      </c>
      <c r="C132" s="22" t="s">
        <v>140</v>
      </c>
      <c r="D132" s="22" t="s">
        <v>70</v>
      </c>
      <c r="E132" s="22" t="s">
        <v>71</v>
      </c>
      <c r="F132" s="9">
        <f>4</f>
      </c>
      <c r="G132" s="10">
        <f>11.7</f>
      </c>
      <c r="H132" s="10">
        <f>1.6</f>
      </c>
      <c r="I132" s="11">
        <f>173.97</f>
      </c>
      <c r="J132" s="11">
        <f>1290.44</f>
      </c>
      <c r="K132" s="10">
        <f>9.9</f>
      </c>
      <c r="L132" s="10">
        <f>1.3</f>
      </c>
      <c r="M132" s="21">
        <f>2811000000</f>
      </c>
      <c r="N132" s="21">
        <f>21070000000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29</f>
      </c>
      <c r="G134" s="10">
        <f>9.4</f>
      </c>
      <c r="H134" s="10">
        <f>0.6</f>
      </c>
      <c r="I134" s="11">
        <f>211.23</f>
      </c>
      <c r="J134" s="11">
        <f>3065.18</f>
      </c>
      <c r="K134" s="10">
        <f>15</f>
      </c>
      <c r="L134" s="10">
        <f>1.2</f>
      </c>
      <c r="M134" s="21">
        <f>31339000000</f>
      </c>
      <c r="N134" s="21">
        <f>397030000000</f>
      </c>
    </row>
    <row r="135">
      <c r="A135" s="22" t="s">
        <v>53</v>
      </c>
      <c r="B135" s="22" t="s">
        <v>140</v>
      </c>
      <c r="C135" s="22" t="s">
        <v>140</v>
      </c>
      <c r="D135" s="22" t="s">
        <v>76</v>
      </c>
      <c r="E135" s="22" t="s">
        <v>77</v>
      </c>
      <c r="F135" s="9">
        <f>14</f>
      </c>
      <c r="G135" s="10">
        <f>35.4</f>
      </c>
      <c r="H135" s="10">
        <f>1</f>
      </c>
      <c r="I135" s="11">
        <f>55.9</f>
      </c>
      <c r="J135" s="11">
        <f>1941.44</f>
      </c>
      <c r="K135" s="10">
        <f>22</f>
      </c>
      <c r="L135" s="10">
        <f>1</f>
      </c>
      <c r="M135" s="21">
        <f>7465000000</f>
      </c>
      <c r="N135" s="21">
        <f>163696000000</f>
      </c>
    </row>
    <row r="136">
      <c r="A136" s="22" t="s">
        <v>53</v>
      </c>
      <c r="B136" s="22" t="s">
        <v>140</v>
      </c>
      <c r="C136" s="22" t="s">
        <v>140</v>
      </c>
      <c r="D136" s="22" t="s">
        <v>78</v>
      </c>
      <c r="E136" s="22" t="s">
        <v>79</v>
      </c>
      <c r="F136" s="9">
        <f>"－"</f>
      </c>
      <c r="G136" s="10">
        <f>"－"</f>
      </c>
      <c r="H136" s="10">
        <f>"－"</f>
      </c>
      <c r="I136" s="11">
        <f>"－"</f>
      </c>
      <c r="J136" s="11">
        <f>"－"</f>
      </c>
      <c r="K136" s="10">
        <f>"－"</f>
      </c>
      <c r="L136" s="10">
        <f>"－"</f>
      </c>
      <c r="M136" s="21">
        <f>"－"</f>
      </c>
      <c r="N136" s="21">
        <f>"－"</f>
      </c>
    </row>
    <row r="137">
      <c r="A137" s="22" t="s">
        <v>53</v>
      </c>
      <c r="B137" s="22" t="s">
        <v>140</v>
      </c>
      <c r="C137" s="22" t="s">
        <v>140</v>
      </c>
      <c r="D137" s="22" t="s">
        <v>80</v>
      </c>
      <c r="E137" s="22" t="s">
        <v>81</v>
      </c>
      <c r="F137" s="9">
        <f>6</f>
      </c>
      <c r="G137" s="10">
        <f>8.2</f>
      </c>
      <c r="H137" s="10">
        <f>0.5</f>
      </c>
      <c r="I137" s="11">
        <f>123.41</f>
      </c>
      <c r="J137" s="11">
        <f>1854.96</f>
      </c>
      <c r="K137" s="10">
        <f>8.8</f>
      </c>
      <c r="L137" s="10">
        <f>0.7</f>
      </c>
      <c r="M137" s="21">
        <f>5066000000</f>
      </c>
      <c r="N137" s="21">
        <f>67616000000</f>
      </c>
    </row>
    <row r="138">
      <c r="A138" s="22" t="s">
        <v>53</v>
      </c>
      <c r="B138" s="22" t="s">
        <v>140</v>
      </c>
      <c r="C138" s="22" t="s">
        <v>140</v>
      </c>
      <c r="D138" s="22" t="s">
        <v>82</v>
      </c>
      <c r="E138" s="22" t="s">
        <v>83</v>
      </c>
      <c r="F138" s="9">
        <f>32</f>
      </c>
      <c r="G138" s="10">
        <f>20.4</f>
      </c>
      <c r="H138" s="10">
        <f>0.9</f>
      </c>
      <c r="I138" s="11">
        <f>142.57</f>
      </c>
      <c r="J138" s="11">
        <f>3124.88</f>
      </c>
      <c r="K138" s="10">
        <f>20.9</f>
      </c>
      <c r="L138" s="10">
        <f>1.2</f>
      </c>
      <c r="M138" s="21">
        <f>23302415000</f>
      </c>
      <c r="N138" s="21">
        <f>414785314000</f>
      </c>
    </row>
    <row r="139">
      <c r="A139" s="22" t="s">
        <v>53</v>
      </c>
      <c r="B139" s="22" t="s">
        <v>140</v>
      </c>
      <c r="C139" s="22" t="s">
        <v>140</v>
      </c>
      <c r="D139" s="22" t="s">
        <v>84</v>
      </c>
      <c r="E139" s="22" t="s">
        <v>85</v>
      </c>
      <c r="F139" s="9">
        <f>8</f>
      </c>
      <c r="G139" s="10">
        <f>35.3</f>
      </c>
      <c r="H139" s="10">
        <f>2.1</f>
      </c>
      <c r="I139" s="11">
        <f>19.19</f>
      </c>
      <c r="J139" s="11">
        <f>315.68</f>
      </c>
      <c r="K139" s="10">
        <f>33.3</f>
      </c>
      <c r="L139" s="10">
        <f>2.9</f>
      </c>
      <c r="M139" s="21">
        <f>2478000000</f>
      </c>
      <c r="N139" s="21">
        <f>27951000000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17.3</f>
      </c>
      <c r="H141" s="10">
        <f>0.8</f>
      </c>
      <c r="I141" s="11">
        <f>78.32</f>
      </c>
      <c r="J141" s="11">
        <f>1764</f>
      </c>
      <c r="K141" s="10">
        <f>18.9</f>
      </c>
      <c r="L141" s="10">
        <f>0.7</f>
      </c>
      <c r="M141" s="21">
        <f>283000000</f>
      </c>
      <c r="N141" s="21">
        <f>7734000000</f>
      </c>
    </row>
    <row r="142">
      <c r="A142" s="22" t="s">
        <v>53</v>
      </c>
      <c r="B142" s="22" t="s">
        <v>140</v>
      </c>
      <c r="C142" s="22" t="s">
        <v>140</v>
      </c>
      <c r="D142" s="22" t="s">
        <v>90</v>
      </c>
      <c r="E142" s="22" t="s">
        <v>91</v>
      </c>
      <c r="F142" s="9">
        <f>10</f>
      </c>
      <c r="G142" s="10">
        <f>18.3</f>
      </c>
      <c r="H142" s="10">
        <f>1.6</f>
      </c>
      <c r="I142" s="11">
        <f>253.79</f>
      </c>
      <c r="J142" s="11">
        <f>2975.94</f>
      </c>
      <c r="K142" s="10">
        <f>16.4</f>
      </c>
      <c r="L142" s="10">
        <f>1.2</f>
      </c>
      <c r="M142" s="21">
        <f>4692000000</f>
      </c>
      <c r="N142" s="21">
        <f>62232000000</f>
      </c>
    </row>
    <row r="143">
      <c r="A143" s="22" t="s">
        <v>53</v>
      </c>
      <c r="B143" s="22" t="s">
        <v>140</v>
      </c>
      <c r="C143" s="22" t="s">
        <v>140</v>
      </c>
      <c r="D143" s="22" t="s">
        <v>92</v>
      </c>
      <c r="E143" s="22" t="s">
        <v>93</v>
      </c>
      <c r="F143" s="9">
        <f>4</f>
      </c>
      <c r="G143" s="10">
        <f>20.4</f>
      </c>
      <c r="H143" s="10">
        <f>0.8</f>
      </c>
      <c r="I143" s="11">
        <f>88.75</f>
      </c>
      <c r="J143" s="11">
        <f>2370.69</f>
      </c>
      <c r="K143" s="10">
        <f>21.4</f>
      </c>
      <c r="L143" s="10">
        <f>0.7</f>
      </c>
      <c r="M143" s="21">
        <f>1431000000</f>
      </c>
      <c r="N143" s="21">
        <f>43993000000</f>
      </c>
    </row>
    <row r="144">
      <c r="A144" s="22" t="s">
        <v>53</v>
      </c>
      <c r="B144" s="22" t="s">
        <v>140</v>
      </c>
      <c r="C144" s="22" t="s">
        <v>140</v>
      </c>
      <c r="D144" s="22" t="s">
        <v>94</v>
      </c>
      <c r="E144" s="22" t="s">
        <v>95</v>
      </c>
      <c r="F144" s="9">
        <f>3</f>
      </c>
      <c r="G144" s="10">
        <f>23.5</f>
      </c>
      <c r="H144" s="10">
        <f>0.9</f>
      </c>
      <c r="I144" s="11">
        <f>82.14</f>
      </c>
      <c r="J144" s="11">
        <f>2078.2</f>
      </c>
      <c r="K144" s="10">
        <f>23.9</f>
      </c>
      <c r="L144" s="10">
        <f>1.2</f>
      </c>
      <c r="M144" s="21">
        <f>701000000</f>
      </c>
      <c r="N144" s="21">
        <f>14130000000</f>
      </c>
    </row>
    <row r="145">
      <c r="A145" s="22" t="s">
        <v>53</v>
      </c>
      <c r="B145" s="22" t="s">
        <v>140</v>
      </c>
      <c r="C145" s="22" t="s">
        <v>140</v>
      </c>
      <c r="D145" s="22" t="s">
        <v>96</v>
      </c>
      <c r="E145" s="22" t="s">
        <v>97</v>
      </c>
      <c r="F145" s="9">
        <f>18</f>
      </c>
      <c r="G145" s="10">
        <f>13.4</f>
      </c>
      <c r="H145" s="10">
        <f>0.6</f>
      </c>
      <c r="I145" s="11">
        <f>150.03</f>
      </c>
      <c r="J145" s="11">
        <f>3453.84</f>
      </c>
      <c r="K145" s="10">
        <f>14.8</f>
      </c>
      <c r="L145" s="10">
        <f>0.7</f>
      </c>
      <c r="M145" s="21">
        <f>8803000000</f>
      </c>
      <c r="N145" s="21">
        <f>180013000000</f>
      </c>
    </row>
    <row r="146">
      <c r="A146" s="22" t="s">
        <v>53</v>
      </c>
      <c r="B146" s="22" t="s">
        <v>140</v>
      </c>
      <c r="C146" s="22" t="s">
        <v>140</v>
      </c>
      <c r="D146" s="22" t="s">
        <v>98</v>
      </c>
      <c r="E146" s="22" t="s">
        <v>99</v>
      </c>
      <c r="F146" s="9">
        <f>40</f>
      </c>
      <c r="G146" s="10">
        <f>74.9</f>
      </c>
      <c r="H146" s="10">
        <f>0.8</f>
      </c>
      <c r="I146" s="11">
        <f>18.35</f>
      </c>
      <c r="J146" s="11">
        <f>1794.09</f>
      </c>
      <c r="K146" s="10">
        <f>"－"</f>
      </c>
      <c r="L146" s="10">
        <f>1.1</f>
      </c>
      <c r="M146" s="21">
        <f>-6709000000</f>
      </c>
      <c r="N146" s="21">
        <f>850471000000</f>
      </c>
    </row>
    <row r="147">
      <c r="A147" s="22" t="s">
        <v>53</v>
      </c>
      <c r="B147" s="22" t="s">
        <v>140</v>
      </c>
      <c r="C147" s="22" t="s">
        <v>140</v>
      </c>
      <c r="D147" s="22" t="s">
        <v>100</v>
      </c>
      <c r="E147" s="22" t="s">
        <v>101</v>
      </c>
      <c r="F147" s="9">
        <f>43</f>
      </c>
      <c r="G147" s="10">
        <f>16.8</f>
      </c>
      <c r="H147" s="10">
        <f>0.9</f>
      </c>
      <c r="I147" s="11">
        <f>103.17</f>
      </c>
      <c r="J147" s="11">
        <f>1903.6</f>
      </c>
      <c r="K147" s="10">
        <f>15.1</f>
      </c>
      <c r="L147" s="10">
        <f>1.1</f>
      </c>
      <c r="M147" s="21">
        <f>46255000000</f>
      </c>
      <c r="N147" s="21">
        <f>634405000000</f>
      </c>
    </row>
    <row r="148">
      <c r="A148" s="22" t="s">
        <v>53</v>
      </c>
      <c r="B148" s="22" t="s">
        <v>140</v>
      </c>
      <c r="C148" s="22" t="s">
        <v>140</v>
      </c>
      <c r="D148" s="22" t="s">
        <v>102</v>
      </c>
      <c r="E148" s="22" t="s">
        <v>103</v>
      </c>
      <c r="F148" s="9">
        <f>14</f>
      </c>
      <c r="G148" s="10">
        <f>13.3</f>
      </c>
      <c r="H148" s="10">
        <f>0.5</f>
      </c>
      <c r="I148" s="11">
        <f>87.07</f>
      </c>
      <c r="J148" s="11">
        <f>2344.68</f>
      </c>
      <c r="K148" s="10">
        <f>24</f>
      </c>
      <c r="L148" s="10">
        <f>0.4</f>
      </c>
      <c r="M148" s="21">
        <f>4348000000</f>
      </c>
      <c r="N148" s="21">
        <f>265320000000</f>
      </c>
    </row>
    <row r="149">
      <c r="A149" s="22" t="s">
        <v>53</v>
      </c>
      <c r="B149" s="22" t="s">
        <v>140</v>
      </c>
      <c r="C149" s="22" t="s">
        <v>140</v>
      </c>
      <c r="D149" s="22" t="s">
        <v>104</v>
      </c>
      <c r="E149" s="22" t="s">
        <v>105</v>
      </c>
      <c r="F149" s="9">
        <f>12</f>
      </c>
      <c r="G149" s="10">
        <f>26.4</f>
      </c>
      <c r="H149" s="10">
        <f>1.3</f>
      </c>
      <c r="I149" s="11">
        <f>34.02</f>
      </c>
      <c r="J149" s="11">
        <f>675.37</f>
      </c>
      <c r="K149" s="10">
        <f>32.9</f>
      </c>
      <c r="L149" s="10">
        <f>1.9</f>
      </c>
      <c r="M149" s="21">
        <f>10430000000</f>
      </c>
      <c r="N149" s="21">
        <f>178302000000</f>
      </c>
    </row>
    <row r="150">
      <c r="A150" s="22" t="s">
        <v>53</v>
      </c>
      <c r="B150" s="22" t="s">
        <v>140</v>
      </c>
      <c r="C150" s="22" t="s">
        <v>140</v>
      </c>
      <c r="D150" s="22" t="s">
        <v>106</v>
      </c>
      <c r="E150" s="22" t="s">
        <v>107</v>
      </c>
      <c r="F150" s="9">
        <f>30</f>
      </c>
      <c r="G150" s="10">
        <f>23.9</f>
      </c>
      <c r="H150" s="10">
        <f>0.8</f>
      </c>
      <c r="I150" s="11">
        <f>65.17</f>
      </c>
      <c r="J150" s="11">
        <f>1868.38</f>
      </c>
      <c r="K150" s="10">
        <f>15.6</f>
      </c>
      <c r="L150" s="10">
        <f>1</f>
      </c>
      <c r="M150" s="21">
        <f>14692600000</f>
      </c>
      <c r="N150" s="21">
        <f>222315000000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19.5</f>
      </c>
      <c r="H152" s="10">
        <f>0.4</f>
      </c>
      <c r="I152" s="11">
        <f>84.98</f>
      </c>
      <c r="J152" s="11">
        <f>4070.92</f>
      </c>
      <c r="K152" s="10">
        <f>11.3</f>
      </c>
      <c r="L152" s="10">
        <f>0.5</f>
      </c>
      <c r="M152" s="21">
        <f>3929000000</f>
      </c>
      <c r="N152" s="21">
        <f>91249000000</f>
      </c>
    </row>
    <row r="153">
      <c r="A153" s="22" t="s">
        <v>53</v>
      </c>
      <c r="B153" s="22" t="s">
        <v>140</v>
      </c>
      <c r="C153" s="22" t="s">
        <v>140</v>
      </c>
      <c r="D153" s="22" t="s">
        <v>112</v>
      </c>
      <c r="E153" s="22" t="s">
        <v>113</v>
      </c>
      <c r="F153" s="9">
        <f>1</f>
      </c>
      <c r="G153" s="10">
        <f>"－"</f>
      </c>
      <c r="H153" s="10">
        <f>"－"</f>
      </c>
      <c r="I153" s="11">
        <f>-98.25</f>
      </c>
      <c r="J153" s="11">
        <f>-129.54</f>
      </c>
      <c r="K153" s="10">
        <f>"－"</f>
      </c>
      <c r="L153" s="10">
        <f>"－"</f>
      </c>
      <c r="M153" s="21">
        <f>-1671000000</f>
      </c>
      <c r="N153" s="21">
        <f>-2203000000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3</f>
      </c>
      <c r="G155" s="10">
        <f>20</f>
      </c>
      <c r="H155" s="10">
        <f>1</f>
      </c>
      <c r="I155" s="11">
        <f>33.97</f>
      </c>
      <c r="J155" s="11">
        <f>665.58</f>
      </c>
      <c r="K155" s="10">
        <f>24.6</f>
      </c>
      <c r="L155" s="10">
        <f>0.9</f>
      </c>
      <c r="M155" s="21">
        <f>686000000</f>
      </c>
      <c r="N155" s="21">
        <f>18308000000</f>
      </c>
    </row>
    <row r="156">
      <c r="A156" s="22" t="s">
        <v>53</v>
      </c>
      <c r="B156" s="22" t="s">
        <v>140</v>
      </c>
      <c r="C156" s="22" t="s">
        <v>140</v>
      </c>
      <c r="D156" s="22" t="s">
        <v>118</v>
      </c>
      <c r="E156" s="22" t="s">
        <v>119</v>
      </c>
      <c r="F156" s="9">
        <f>102</f>
      </c>
      <c r="G156" s="10">
        <f>17.6</f>
      </c>
      <c r="H156" s="10">
        <f>1.6</f>
      </c>
      <c r="I156" s="11">
        <f>67.83</f>
      </c>
      <c r="J156" s="11">
        <f>750.85</f>
      </c>
      <c r="K156" s="10">
        <f>34.6</f>
      </c>
      <c r="L156" s="10">
        <f>2</f>
      </c>
      <c r="M156" s="21">
        <f>41072000000</f>
      </c>
      <c r="N156" s="21">
        <f>715353000000</f>
      </c>
    </row>
    <row r="157">
      <c r="A157" s="22" t="s">
        <v>53</v>
      </c>
      <c r="B157" s="22" t="s">
        <v>140</v>
      </c>
      <c r="C157" s="22" t="s">
        <v>140</v>
      </c>
      <c r="D157" s="22" t="s">
        <v>120</v>
      </c>
      <c r="E157" s="22" t="s">
        <v>121</v>
      </c>
      <c r="F157" s="9">
        <f>81</f>
      </c>
      <c r="G157" s="10">
        <f>17.9</f>
      </c>
      <c r="H157" s="10">
        <f>0.7</f>
      </c>
      <c r="I157" s="11">
        <f>81.34</f>
      </c>
      <c r="J157" s="11">
        <f>2156.73</f>
      </c>
      <c r="K157" s="10">
        <f>19.7</f>
      </c>
      <c r="L157" s="10">
        <f>0.9</f>
      </c>
      <c r="M157" s="21">
        <f>31679000000</f>
      </c>
      <c r="N157" s="21">
        <f>735435564267</f>
      </c>
    </row>
    <row r="158">
      <c r="A158" s="22" t="s">
        <v>53</v>
      </c>
      <c r="B158" s="22" t="s">
        <v>140</v>
      </c>
      <c r="C158" s="22" t="s">
        <v>140</v>
      </c>
      <c r="D158" s="22" t="s">
        <v>122</v>
      </c>
      <c r="E158" s="22" t="s">
        <v>123</v>
      </c>
      <c r="F158" s="9">
        <f>78</f>
      </c>
      <c r="G158" s="10">
        <f>"＊"</f>
      </c>
      <c r="H158" s="10">
        <f>1.3</f>
      </c>
      <c r="I158" s="11">
        <f>0.28</f>
      </c>
      <c r="J158" s="11">
        <f>1032.52</f>
      </c>
      <c r="K158" s="10">
        <f>27.2</f>
      </c>
      <c r="L158" s="10">
        <f>2</f>
      </c>
      <c r="M158" s="21">
        <f>70544974000</f>
      </c>
      <c r="N158" s="21">
        <f>959203639450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12</f>
      </c>
      <c r="G160" s="10">
        <f>13.2</f>
      </c>
      <c r="H160" s="10">
        <f>0.8</f>
      </c>
      <c r="I160" s="11">
        <f>63.21</f>
      </c>
      <c r="J160" s="11">
        <f>1000.12</f>
      </c>
      <c r="K160" s="10">
        <f>16.3</f>
      </c>
      <c r="L160" s="10">
        <f>1.1</f>
      </c>
      <c r="M160" s="21">
        <f>13520000000</f>
      </c>
      <c r="N160" s="21">
        <f>198750000000</f>
      </c>
    </row>
    <row r="161">
      <c r="A161" s="22" t="s">
        <v>53</v>
      </c>
      <c r="B161" s="22" t="s">
        <v>140</v>
      </c>
      <c r="C161" s="22" t="s">
        <v>140</v>
      </c>
      <c r="D161" s="22" t="s">
        <v>128</v>
      </c>
      <c r="E161" s="22" t="s">
        <v>129</v>
      </c>
      <c r="F161" s="9">
        <f>1</f>
      </c>
      <c r="G161" s="10">
        <f>19</f>
      </c>
      <c r="H161" s="10">
        <f>2.8</f>
      </c>
      <c r="I161" s="11">
        <f>75.68</f>
      </c>
      <c r="J161" s="11">
        <f>513.56</f>
      </c>
      <c r="K161" s="10">
        <f>19</f>
      </c>
      <c r="L161" s="10">
        <f>2.8</f>
      </c>
      <c r="M161" s="21">
        <f>1369000000</f>
      </c>
      <c r="N161" s="21">
        <f>9290000000</f>
      </c>
    </row>
    <row r="162">
      <c r="A162" s="22" t="s">
        <v>53</v>
      </c>
      <c r="B162" s="22" t="s">
        <v>140</v>
      </c>
      <c r="C162" s="22" t="s">
        <v>140</v>
      </c>
      <c r="D162" s="22" t="s">
        <v>130</v>
      </c>
      <c r="E162" s="22" t="s">
        <v>131</v>
      </c>
      <c r="F162" s="9">
        <f>3</f>
      </c>
      <c r="G162" s="10">
        <f>"－"</f>
      </c>
      <c r="H162" s="10">
        <f>1.2</f>
      </c>
      <c r="I162" s="11">
        <f>-22.46</f>
      </c>
      <c r="J162" s="11">
        <f>283.66</f>
      </c>
      <c r="K162" s="10">
        <f>"－"</f>
      </c>
      <c r="L162" s="10">
        <f>1.3</f>
      </c>
      <c r="M162" s="21">
        <f>-2732000000</f>
      </c>
      <c r="N162" s="21">
        <f>6868000000</f>
      </c>
    </row>
    <row r="163">
      <c r="A163" s="22" t="s">
        <v>53</v>
      </c>
      <c r="B163" s="22" t="s">
        <v>140</v>
      </c>
      <c r="C163" s="22" t="s">
        <v>140</v>
      </c>
      <c r="D163" s="22" t="s">
        <v>132</v>
      </c>
      <c r="E163" s="22" t="s">
        <v>133</v>
      </c>
      <c r="F163" s="9">
        <f>29</f>
      </c>
      <c r="G163" s="10">
        <f>9.5</f>
      </c>
      <c r="H163" s="10">
        <f>0.8</f>
      </c>
      <c r="I163" s="11">
        <f>100.84</f>
      </c>
      <c r="J163" s="11">
        <f>1190.8</f>
      </c>
      <c r="K163" s="10">
        <f>11.9</f>
      </c>
      <c r="L163" s="10">
        <f>0.9</f>
      </c>
      <c r="M163" s="21">
        <f>22698000000</f>
      </c>
      <c r="N163" s="21">
        <f>310765846500</f>
      </c>
    </row>
    <row r="164">
      <c r="A164" s="22" t="s">
        <v>53</v>
      </c>
      <c r="B164" s="22" t="s">
        <v>140</v>
      </c>
      <c r="C164" s="22" t="s">
        <v>140</v>
      </c>
      <c r="D164" s="22" t="s">
        <v>134</v>
      </c>
      <c r="E164" s="22" t="s">
        <v>135</v>
      </c>
      <c r="F164" s="9">
        <f>97</f>
      </c>
      <c r="G164" s="10">
        <f>26.1</f>
      </c>
      <c r="H164" s="10">
        <f>1.2</f>
      </c>
      <c r="I164" s="11">
        <f>44.39</f>
      </c>
      <c r="J164" s="11">
        <f>969.54</f>
      </c>
      <c r="K164" s="10">
        <f>40.8</f>
      </c>
      <c r="L164" s="10">
        <f>2</f>
      </c>
      <c r="M164" s="21">
        <f>25231000000</f>
      </c>
      <c r="N164" s="21">
        <f>506764000000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1820</f>
      </c>
      <c r="E6" s="23">
        <f>27.6</f>
      </c>
      <c r="F6" s="23">
        <f>1.5</f>
      </c>
      <c r="G6" s="11">
        <f>82.04</f>
      </c>
      <c r="H6" s="11">
        <f>1530.43</f>
      </c>
      <c r="I6" s="23">
        <f>35.2</f>
      </c>
      <c r="J6" s="23">
        <f>2.1</f>
      </c>
      <c r="K6" s="24">
        <f>15716789107262</f>
      </c>
      <c r="L6" s="24">
        <f>269356935375924</f>
      </c>
    </row>
    <row r="7">
      <c r="A7" s="22" t="s">
        <v>53</v>
      </c>
      <c r="B7" s="22" t="s">
        <v>136</v>
      </c>
      <c r="C7" s="22" t="s">
        <v>137</v>
      </c>
      <c r="D7" s="9">
        <f>401</f>
      </c>
      <c r="E7" s="23">
        <f>25.7</f>
      </c>
      <c r="F7" s="23">
        <f>0.7</f>
      </c>
      <c r="G7" s="11">
        <f>51.31</f>
      </c>
      <c r="H7" s="11">
        <f>1797.76</f>
      </c>
      <c r="I7" s="23">
        <f>33.3</f>
      </c>
      <c r="J7" s="23">
        <f>1</f>
      </c>
      <c r="K7" s="24">
        <f>129319633750</f>
      </c>
      <c r="L7" s="24">
        <f>4143928557000</f>
      </c>
    </row>
    <row r="8">
      <c r="A8" s="22" t="s">
        <v>53</v>
      </c>
      <c r="B8" s="22" t="s">
        <v>138</v>
      </c>
      <c r="C8" s="22" t="s">
        <v>139</v>
      </c>
      <c r="D8" s="9">
        <f>349</f>
      </c>
      <c r="E8" s="23">
        <f>85.1</f>
      </c>
      <c r="F8" s="23">
        <f>4.8</f>
      </c>
      <c r="G8" s="11">
        <f>17.81</f>
      </c>
      <c r="H8" s="11">
        <f>315.88</f>
      </c>
      <c r="I8" s="23">
        <f>"＊"</f>
      </c>
      <c r="J8" s="23">
        <f>5</f>
      </c>
      <c r="K8" s="24">
        <f>1937141313</f>
      </c>
      <c r="L8" s="24">
        <f>1082597276972</f>
      </c>
    </row>
    <row r="9">
      <c r="A9" s="22" t="s">
        <v>53</v>
      </c>
      <c r="B9" s="22" t="s">
        <v>140</v>
      </c>
      <c r="C9" s="22" t="s">
        <v>140</v>
      </c>
      <c r="D9" s="9">
        <f>575</f>
      </c>
      <c r="E9" s="23">
        <f>21.8</f>
      </c>
      <c r="F9" s="23">
        <f>1</f>
      </c>
      <c r="G9" s="11">
        <f>66.95</f>
      </c>
      <c r="H9" s="11">
        <f>1425.4</f>
      </c>
      <c r="I9" s="23">
        <f>29.8</f>
      </c>
      <c r="J9" s="23">
        <f>1.5</f>
      </c>
      <c r="K9" s="24">
        <f>257242341000</f>
      </c>
      <c r="L9" s="24">
        <f>5159069668217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